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8"/>
  <workbookPr/>
  <mc:AlternateContent xmlns:mc="http://schemas.openxmlformats.org/markup-compatibility/2006">
    <mc:Choice Requires="x15">
      <x15ac:absPath xmlns:x15ac="http://schemas.microsoft.com/office/spreadsheetml/2010/11/ac" url="C:\Users\cthy\OneDrive - Bureau Veritas\LCA - EPD - LABELS\PEFCR\Batteries PEF\"/>
    </mc:Choice>
  </mc:AlternateContent>
  <xr:revisionPtr revIDLastSave="0" documentId="8_{4985E39F-268A-4DD8-B81A-F1C702C8F7D1}" xr6:coauthVersionLast="36" xr6:coauthVersionMax="36" xr10:uidLastSave="{00000000-0000-0000-0000-000000000000}"/>
  <bookViews>
    <workbookView xWindow="0" yWindow="0" windowWidth="16485" windowHeight="4890" tabRatio="855" firstSheet="9" activeTab="13" xr2:uid="{00000000-000D-0000-FFFF-FFFF00000000}"/>
  </bookViews>
  <sheets>
    <sheet name="LC_Production of main product " sheetId="13" r:id="rId1"/>
    <sheet name="LC_Transport data" sheetId="4" r:id="rId2"/>
    <sheet name="LC_Use stage (losses) data" sheetId="5" r:id="rId3"/>
    <sheet name="LC_EoL stage data" sheetId="12" r:id="rId4"/>
    <sheet name="Landuse&amp;Infrastructure" sheetId="6" r:id="rId5"/>
    <sheet name="Screenshot Life cycle" sheetId="10" r:id="rId6"/>
    <sheet name="Screenshots manufacturing" sheetId="8" r:id="rId7"/>
    <sheet name="Screenshots use stage" sheetId="9" r:id="rId8"/>
    <sheet name="Screenshot EoL stage" sheetId="11" r:id="rId9"/>
    <sheet name="DQR" sheetId="14" r:id="rId10"/>
    <sheet name="Most relevant IC" sheetId="15" r:id="rId11"/>
    <sheet name="Most relevant LCS" sheetId="16" r:id="rId12"/>
    <sheet name="Most relevant process" sheetId="17" r:id="rId13"/>
    <sheet name="Benchmark" sheetId="18" r:id="rId14"/>
    <sheet name="Ref. PEF Guideline" sheetId="19" r:id="rId15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45" i="18" l="1"/>
  <c r="I44" i="18"/>
  <c r="I41" i="18"/>
  <c r="I35" i="18"/>
  <c r="I33" i="18"/>
  <c r="I31" i="18"/>
  <c r="L155" i="14"/>
  <c r="L151" i="14"/>
  <c r="L139" i="14"/>
  <c r="L128" i="14"/>
  <c r="L69" i="14"/>
  <c r="O47" i="18"/>
  <c r="L44" i="18" s="1"/>
  <c r="O42" i="18"/>
  <c r="K43" i="18" s="1"/>
  <c r="O37" i="18"/>
  <c r="O32" i="18"/>
  <c r="I40" i="18" s="1"/>
  <c r="L158" i="14"/>
  <c r="L159" i="14"/>
  <c r="L160" i="14"/>
  <c r="L161" i="14"/>
  <c r="L162" i="14"/>
  <c r="L136" i="14"/>
  <c r="L137" i="14"/>
  <c r="L138" i="14"/>
  <c r="L140" i="14"/>
  <c r="L141" i="14"/>
  <c r="L142" i="14"/>
  <c r="L143" i="14"/>
  <c r="L144" i="14"/>
  <c r="L145" i="14"/>
  <c r="L146" i="14"/>
  <c r="L147" i="14"/>
  <c r="L148" i="14"/>
  <c r="L149" i="14"/>
  <c r="L150" i="14"/>
  <c r="L152" i="14"/>
  <c r="L153" i="14"/>
  <c r="L154" i="14"/>
  <c r="L156" i="14"/>
  <c r="L157" i="14"/>
  <c r="L123" i="14"/>
  <c r="L124" i="14"/>
  <c r="L125" i="14"/>
  <c r="L126" i="14"/>
  <c r="L127" i="14"/>
  <c r="L129" i="14"/>
  <c r="L130" i="14"/>
  <c r="L131" i="14"/>
  <c r="L132" i="14"/>
  <c r="L133" i="14"/>
  <c r="L134" i="14"/>
  <c r="L135" i="14"/>
  <c r="L113" i="14"/>
  <c r="L114" i="14"/>
  <c r="L115" i="14"/>
  <c r="L116" i="14"/>
  <c r="L117" i="14"/>
  <c r="L118" i="14"/>
  <c r="L119" i="14"/>
  <c r="L120" i="14"/>
  <c r="L121" i="14"/>
  <c r="L122" i="14"/>
  <c r="L104" i="14"/>
  <c r="L105" i="14"/>
  <c r="L106" i="14"/>
  <c r="L107" i="14"/>
  <c r="L108" i="14"/>
  <c r="L99" i="14"/>
  <c r="L100" i="14"/>
  <c r="L101" i="14"/>
  <c r="L94" i="14"/>
  <c r="L93" i="14"/>
  <c r="L90" i="14"/>
  <c r="L89" i="14"/>
  <c r="L88" i="14"/>
  <c r="L87" i="14"/>
  <c r="L84" i="14"/>
  <c r="L83" i="14"/>
  <c r="L82" i="14"/>
  <c r="L78" i="14"/>
  <c r="L79" i="14"/>
  <c r="L74" i="14"/>
  <c r="L73" i="14"/>
  <c r="L72" i="14"/>
  <c r="L112" i="14"/>
  <c r="L110" i="14"/>
  <c r="L103" i="14"/>
  <c r="L98" i="14"/>
  <c r="L96" i="14"/>
  <c r="L92" i="14"/>
  <c r="L86" i="14"/>
  <c r="L81" i="14"/>
  <c r="L77" i="14"/>
  <c r="L71" i="14"/>
  <c r="L62" i="14"/>
  <c r="L63" i="14"/>
  <c r="L64" i="14"/>
  <c r="L65" i="14"/>
  <c r="L66" i="14"/>
  <c r="L67" i="14"/>
  <c r="L68" i="14"/>
  <c r="L61" i="14"/>
  <c r="L56" i="14"/>
  <c r="L57" i="14"/>
  <c r="L58" i="14"/>
  <c r="L55" i="14"/>
  <c r="L46" i="14"/>
  <c r="L47" i="14"/>
  <c r="L48" i="14"/>
  <c r="L49" i="14"/>
  <c r="L50" i="14"/>
  <c r="L51" i="14"/>
  <c r="L52" i="14"/>
  <c r="L53" i="14"/>
  <c r="L45" i="14"/>
  <c r="L30" i="14"/>
  <c r="L31" i="14"/>
  <c r="L32" i="14"/>
  <c r="L33" i="14"/>
  <c r="L34" i="14"/>
  <c r="L35" i="14"/>
  <c r="L36" i="14"/>
  <c r="L37" i="14"/>
  <c r="L38" i="14"/>
  <c r="L39" i="14"/>
  <c r="L40" i="14"/>
  <c r="L41" i="14"/>
  <c r="L42" i="14"/>
  <c r="L43" i="14"/>
  <c r="L29" i="14"/>
  <c r="L19" i="14"/>
  <c r="L20" i="14"/>
  <c r="L21" i="14"/>
  <c r="L22" i="14"/>
  <c r="L23" i="14"/>
  <c r="L24" i="14"/>
  <c r="L25" i="14"/>
  <c r="L26" i="14"/>
  <c r="L27" i="14"/>
  <c r="L18" i="14"/>
  <c r="L7" i="14"/>
  <c r="L8" i="14"/>
  <c r="L9" i="14"/>
  <c r="L10" i="14"/>
  <c r="L11" i="14"/>
  <c r="L12" i="14"/>
  <c r="L13" i="14"/>
  <c r="L14" i="14"/>
  <c r="L6" i="14"/>
  <c r="V108" i="13"/>
  <c r="X108" i="13"/>
  <c r="V107" i="13"/>
  <c r="X107" i="13"/>
  <c r="V106" i="13"/>
  <c r="X106" i="13" s="1"/>
  <c r="V105" i="13"/>
  <c r="X105" i="13"/>
  <c r="V104" i="13"/>
  <c r="X104" i="13"/>
  <c r="V102" i="13"/>
  <c r="X102" i="13"/>
  <c r="V100" i="13"/>
  <c r="X100" i="13" s="1"/>
  <c r="V99" i="13"/>
  <c r="X99" i="13"/>
  <c r="V98" i="13"/>
  <c r="X98" i="13"/>
  <c r="V96" i="13"/>
  <c r="X96" i="13"/>
  <c r="V94" i="13"/>
  <c r="X94" i="13" s="1"/>
  <c r="V93" i="13"/>
  <c r="X93" i="13"/>
  <c r="V92" i="13"/>
  <c r="X92" i="13"/>
  <c r="V91" i="13"/>
  <c r="X91" i="13"/>
  <c r="V89" i="13"/>
  <c r="X89" i="13" s="1"/>
  <c r="V88" i="13"/>
  <c r="X88" i="13"/>
  <c r="V87" i="13"/>
  <c r="X87" i="13"/>
  <c r="V84" i="13"/>
  <c r="X84" i="13"/>
  <c r="V83" i="13"/>
  <c r="X83" i="13" s="1"/>
  <c r="V82" i="13"/>
  <c r="X82" i="13"/>
  <c r="V81" i="13"/>
  <c r="X81" i="13"/>
  <c r="V80" i="13"/>
  <c r="X80" i="13"/>
  <c r="V78" i="13"/>
  <c r="X78" i="13" s="1"/>
  <c r="V77" i="13"/>
  <c r="X77" i="13"/>
  <c r="V76" i="13"/>
  <c r="X76" i="13"/>
  <c r="V75" i="13"/>
  <c r="X75" i="13" s="1"/>
  <c r="V74" i="13"/>
  <c r="X74" i="13" s="1"/>
  <c r="V73" i="13"/>
  <c r="X73" i="13"/>
  <c r="V72" i="13"/>
  <c r="X72" i="13"/>
  <c r="V71" i="13"/>
  <c r="X71" i="13" s="1"/>
  <c r="V68" i="13"/>
  <c r="X68" i="13" s="1"/>
  <c r="V67" i="13"/>
  <c r="X67" i="13"/>
  <c r="V66" i="13"/>
  <c r="X66" i="13"/>
  <c r="V65" i="13"/>
  <c r="X65" i="13" s="1"/>
  <c r="X63" i="13"/>
  <c r="V63" i="13"/>
  <c r="V62" i="13"/>
  <c r="X62" i="13"/>
  <c r="V61" i="13"/>
  <c r="X61" i="13"/>
  <c r="V60" i="13"/>
  <c r="X60" i="13" s="1"/>
  <c r="V59" i="13"/>
  <c r="X59" i="13" s="1"/>
  <c r="V58" i="13"/>
  <c r="X58" i="13"/>
  <c r="V57" i="13"/>
  <c r="X57" i="13"/>
  <c r="V56" i="13"/>
  <c r="X56" i="13" s="1"/>
  <c r="V55" i="13"/>
  <c r="X55" i="13" s="1"/>
  <c r="V53" i="13"/>
  <c r="X53" i="13"/>
  <c r="V52" i="13"/>
  <c r="X52" i="13"/>
  <c r="V51" i="13"/>
  <c r="X51" i="13" s="1"/>
  <c r="V50" i="13"/>
  <c r="X50" i="13" s="1"/>
  <c r="V49" i="13"/>
  <c r="X49" i="13"/>
  <c r="V48" i="13"/>
  <c r="X48" i="13"/>
  <c r="V47" i="13"/>
  <c r="X47" i="13" s="1"/>
  <c r="V46" i="13"/>
  <c r="X46" i="13" s="1"/>
  <c r="V45" i="13"/>
  <c r="X45" i="13"/>
  <c r="V44" i="13"/>
  <c r="X44" i="13"/>
  <c r="V43" i="13"/>
  <c r="X43" i="13" s="1"/>
  <c r="V42" i="13"/>
  <c r="X42" i="13" s="1"/>
  <c r="V41" i="13"/>
  <c r="X41" i="13"/>
  <c r="V40" i="13"/>
  <c r="X40" i="13"/>
  <c r="V39" i="13"/>
  <c r="X39" i="13" s="1"/>
  <c r="V38" i="13"/>
  <c r="X38" i="13" s="1"/>
  <c r="V36" i="13"/>
  <c r="X36" i="13"/>
  <c r="V34" i="13"/>
  <c r="X34" i="13"/>
  <c r="V33" i="13"/>
  <c r="X33" i="13"/>
  <c r="X110" i="13"/>
  <c r="V32" i="13"/>
  <c r="X32" i="13"/>
  <c r="V31" i="13"/>
  <c r="X31" i="13" s="1"/>
  <c r="V30" i="13"/>
  <c r="X30" i="13" s="1"/>
  <c r="V29" i="13"/>
  <c r="X29" i="13"/>
  <c r="V28" i="13"/>
  <c r="X28" i="13"/>
  <c r="V27" i="13"/>
  <c r="X27" i="13" s="1"/>
  <c r="V23" i="13"/>
  <c r="X23" i="13" s="1"/>
  <c r="V22" i="13"/>
  <c r="X22" i="13"/>
  <c r="V21" i="13"/>
  <c r="X21" i="13"/>
  <c r="V20" i="13"/>
  <c r="X20" i="13" s="1"/>
  <c r="V19" i="13"/>
  <c r="X19" i="13" s="1"/>
  <c r="V18" i="13"/>
  <c r="X18" i="13"/>
  <c r="V15" i="13"/>
  <c r="X15" i="13"/>
  <c r="V67" i="12"/>
  <c r="X67" i="12" s="1"/>
  <c r="V66" i="12"/>
  <c r="X66" i="12" s="1"/>
  <c r="V64" i="12"/>
  <c r="X64" i="12"/>
  <c r="V63" i="12"/>
  <c r="X63" i="12"/>
  <c r="V62" i="12"/>
  <c r="X62" i="12" s="1"/>
  <c r="V59" i="12"/>
  <c r="X59" i="12" s="1"/>
  <c r="V57" i="12"/>
  <c r="X57" i="12"/>
  <c r="V53" i="12"/>
  <c r="X53" i="12"/>
  <c r="V52" i="12"/>
  <c r="X52" i="12" s="1"/>
  <c r="V50" i="12"/>
  <c r="X50" i="12" s="1"/>
  <c r="V45" i="12"/>
  <c r="X45" i="12"/>
  <c r="V44" i="12"/>
  <c r="X44" i="12"/>
  <c r="V43" i="12"/>
  <c r="X43" i="12" s="1"/>
  <c r="V42" i="12"/>
  <c r="X42" i="12" s="1"/>
  <c r="V41" i="12"/>
  <c r="X41" i="12"/>
  <c r="V40" i="12"/>
  <c r="X40" i="12"/>
  <c r="V39" i="12"/>
  <c r="X39" i="12" s="1"/>
  <c r="V38" i="12"/>
  <c r="X38" i="12" s="1"/>
  <c r="V37" i="12"/>
  <c r="X37" i="12"/>
  <c r="V36" i="12"/>
  <c r="X36" i="12"/>
  <c r="V35" i="12"/>
  <c r="X35" i="12" s="1"/>
  <c r="V34" i="12"/>
  <c r="X34" i="12" s="1"/>
  <c r="V33" i="12"/>
  <c r="X33" i="12"/>
  <c r="V32" i="12"/>
  <c r="X32" i="12"/>
  <c r="X31" i="12"/>
  <c r="V31" i="12"/>
  <c r="V30" i="12"/>
  <c r="X30" i="12" s="1"/>
  <c r="V29" i="12"/>
  <c r="X29" i="12"/>
  <c r="V28" i="12"/>
  <c r="X28" i="12"/>
  <c r="V27" i="12"/>
  <c r="X27" i="12" s="1"/>
  <c r="V26" i="12"/>
  <c r="X26" i="12" s="1"/>
  <c r="V25" i="12"/>
  <c r="X25" i="12"/>
  <c r="V24" i="12"/>
  <c r="X24" i="12"/>
  <c r="V23" i="12"/>
  <c r="X23" i="12" s="1"/>
  <c r="V22" i="12"/>
  <c r="X22" i="12" s="1"/>
  <c r="V21" i="12"/>
  <c r="X21" i="12"/>
  <c r="V20" i="12"/>
  <c r="X20" i="12"/>
  <c r="V19" i="12"/>
  <c r="X19" i="12" s="1"/>
  <c r="V18" i="12"/>
  <c r="X18" i="12" s="1"/>
  <c r="V16" i="12"/>
  <c r="X16" i="12"/>
  <c r="V15" i="12"/>
  <c r="X15" i="12"/>
  <c r="X68" i="12"/>
  <c r="L31" i="18" l="1"/>
  <c r="I32" i="18"/>
  <c r="I43" i="18"/>
  <c r="L32" i="18"/>
  <c r="L35" i="18"/>
  <c r="L36" i="18"/>
  <c r="L163" i="14"/>
  <c r="I36" i="18"/>
  <c r="K31" i="18"/>
  <c r="L39" i="18"/>
  <c r="I37" i="18"/>
  <c r="K35" i="18"/>
  <c r="L40" i="18"/>
  <c r="I39" i="18"/>
  <c r="K39" i="18"/>
  <c r="L43" i="18"/>
  <c r="J23" i="18"/>
  <c r="J19" i="18"/>
  <c r="J15" i="18"/>
  <c r="J11" i="18"/>
  <c r="J7" i="18"/>
  <c r="J22" i="18"/>
  <c r="J18" i="18"/>
  <c r="J14" i="18"/>
  <c r="J10" i="18"/>
  <c r="J25" i="18"/>
  <c r="J21" i="18"/>
  <c r="J17" i="18"/>
  <c r="J13" i="18"/>
  <c r="J9" i="18"/>
  <c r="J24" i="18"/>
  <c r="J20" i="18"/>
  <c r="J16" i="18"/>
  <c r="J12" i="18"/>
  <c r="J8" i="18"/>
  <c r="J31" i="18"/>
  <c r="J35" i="18"/>
  <c r="J39" i="18"/>
  <c r="J43" i="18"/>
  <c r="K24" i="18"/>
  <c r="K20" i="18"/>
  <c r="K16" i="18"/>
  <c r="K12" i="18"/>
  <c r="K8" i="18"/>
  <c r="K23" i="18"/>
  <c r="K19" i="18"/>
  <c r="K15" i="18"/>
  <c r="K11" i="18"/>
  <c r="K7" i="18"/>
  <c r="K22" i="18"/>
  <c r="K18" i="18"/>
  <c r="K14" i="18"/>
  <c r="K10" i="18"/>
  <c r="K25" i="18"/>
  <c r="K21" i="18"/>
  <c r="K17" i="18"/>
  <c r="K13" i="18"/>
  <c r="K9" i="18"/>
  <c r="J32" i="18"/>
  <c r="J36" i="18"/>
  <c r="J40" i="18"/>
  <c r="J44" i="18"/>
  <c r="K32" i="18"/>
  <c r="K36" i="18"/>
  <c r="K40" i="18"/>
  <c r="K44" i="18"/>
  <c r="L25" i="18"/>
  <c r="L21" i="18"/>
  <c r="L17" i="18"/>
  <c r="L13" i="18"/>
  <c r="L9" i="18"/>
  <c r="L24" i="18"/>
  <c r="L20" i="18"/>
  <c r="L16" i="18"/>
  <c r="L12" i="18"/>
  <c r="L8" i="18"/>
  <c r="L23" i="18"/>
  <c r="L19" i="18"/>
  <c r="L15" i="18"/>
  <c r="L11" i="18"/>
  <c r="L7" i="18"/>
  <c r="L22" i="18"/>
  <c r="L18" i="18"/>
  <c r="L14" i="18"/>
  <c r="L10" i="18"/>
  <c r="J33" i="18"/>
  <c r="J37" i="18"/>
  <c r="J41" i="18"/>
  <c r="J45" i="18"/>
  <c r="K33" i="18"/>
  <c r="K37" i="18"/>
  <c r="K41" i="18"/>
  <c r="K45" i="18"/>
  <c r="L33" i="18"/>
  <c r="L37" i="18"/>
  <c r="L41" i="18"/>
  <c r="L45" i="18"/>
  <c r="I7" i="18"/>
  <c r="I22" i="18"/>
  <c r="I18" i="18"/>
  <c r="I14" i="18"/>
  <c r="I10" i="18"/>
  <c r="I25" i="18"/>
  <c r="I21" i="18"/>
  <c r="I17" i="18"/>
  <c r="I13" i="18"/>
  <c r="I9" i="18"/>
  <c r="I24" i="18"/>
  <c r="I20" i="18"/>
  <c r="I16" i="18"/>
  <c r="I12" i="18"/>
  <c r="I8" i="18"/>
  <c r="I23" i="18"/>
  <c r="I19" i="18"/>
  <c r="I15" i="18"/>
  <c r="I11" i="18"/>
  <c r="I34" i="18"/>
  <c r="I38" i="18"/>
  <c r="I42" i="18"/>
  <c r="I46" i="18"/>
  <c r="J34" i="18"/>
  <c r="J38" i="18"/>
  <c r="J42" i="18"/>
  <c r="J46" i="18"/>
  <c r="K34" i="18"/>
  <c r="K38" i="18"/>
  <c r="K42" i="18"/>
  <c r="K46" i="18"/>
  <c r="L34" i="18"/>
  <c r="L38" i="18"/>
  <c r="L42" i="18"/>
  <c r="L46" i="18"/>
</calcChain>
</file>

<file path=xl/sharedStrings.xml><?xml version="1.0" encoding="utf-8"?>
<sst xmlns="http://schemas.openxmlformats.org/spreadsheetml/2006/main" count="2539" uniqueCount="518">
  <si>
    <t>Material/ Process</t>
  </si>
  <si>
    <t>Primary source</t>
  </si>
  <si>
    <t>Year</t>
  </si>
  <si>
    <t>Project-specific</t>
  </si>
  <si>
    <t>Data Quality rating</t>
  </si>
  <si>
    <t>Representativeness</t>
  </si>
  <si>
    <t>Completeness</t>
  </si>
  <si>
    <t>Origin/ Reliability</t>
  </si>
  <si>
    <t xml:space="preserve">Precision </t>
  </si>
  <si>
    <t>EoL</t>
  </si>
  <si>
    <t>Overall quality</t>
  </si>
  <si>
    <t xml:space="preserve">Technological </t>
  </si>
  <si>
    <t>Time</t>
  </si>
  <si>
    <t>Geographical</t>
  </si>
  <si>
    <t>Manufacturing</t>
  </si>
  <si>
    <t>Active components per cell</t>
  </si>
  <si>
    <t>Anode</t>
  </si>
  <si>
    <t>Plastic compound</t>
  </si>
  <si>
    <t xml:space="preserve">Polyvinylidene fluoride (emulsion polymerization) (PVDF) </t>
  </si>
  <si>
    <t>GaBi 6 ts</t>
  </si>
  <si>
    <t>DE</t>
  </si>
  <si>
    <t>Styrene-Butadiene Rubber (SBR) Mix</t>
  </si>
  <si>
    <t>Copper foil</t>
  </si>
  <si>
    <t>Copper Foil (11 μm) for 1 m2</t>
  </si>
  <si>
    <t>CN</t>
  </si>
  <si>
    <t>Graphite powder</t>
  </si>
  <si>
    <t>Graphite powder (estimate)</t>
  </si>
  <si>
    <t>Cobalt hydroxide</t>
  </si>
  <si>
    <t>CDI / ts</t>
  </si>
  <si>
    <t>GLO</t>
  </si>
  <si>
    <t>Nickel hydroxide</t>
  </si>
  <si>
    <t>Aluminium foil</t>
  </si>
  <si>
    <t>EU-27</t>
  </si>
  <si>
    <t>Steel sheet part</t>
  </si>
  <si>
    <t xml:space="preserve">Manganese </t>
  </si>
  <si>
    <t>ZA</t>
  </si>
  <si>
    <t>Cathode</t>
  </si>
  <si>
    <t>Cathode material (sulphates)</t>
  </si>
  <si>
    <t>Electricity grid mix</t>
  </si>
  <si>
    <t>Manganese sulphate (estimation)</t>
  </si>
  <si>
    <t>Nickel Sulfate from electrolytnickel</t>
  </si>
  <si>
    <t>Sodium hydroxide (caustic soda) mix (100%)</t>
  </si>
  <si>
    <t>Sulphuric acid (96%)</t>
  </si>
  <si>
    <t>Lithium Carbonate mix</t>
  </si>
  <si>
    <t>Cobalt sulfate</t>
  </si>
  <si>
    <t xml:space="preserve">Carbon black </t>
  </si>
  <si>
    <t>Carbon black (furnace black; general purpose)</t>
  </si>
  <si>
    <t xml:space="preserve">Cobalt hydroxide </t>
  </si>
  <si>
    <t>Steel scrap</t>
  </si>
  <si>
    <t>Value of scrap</t>
  </si>
  <si>
    <t>Worldsteel</t>
  </si>
  <si>
    <t>Zinc hydroxide</t>
  </si>
  <si>
    <t>Zinc mix</t>
  </si>
  <si>
    <t>Electrolyte</t>
  </si>
  <si>
    <t>Carbonates mix</t>
  </si>
  <si>
    <t>Dimethyl carbonate (DMC)</t>
  </si>
  <si>
    <t>Ethylene carbonate</t>
  </si>
  <si>
    <t>Propylene carbonate</t>
  </si>
  <si>
    <t>Dimethyl carbonate (DMC) (for EMC)</t>
  </si>
  <si>
    <t>Lithium hydroxide</t>
  </si>
  <si>
    <t>Potassium hydroxide</t>
  </si>
  <si>
    <t>Potassium hydroxide (KOH)</t>
  </si>
  <si>
    <t>Caustic soda</t>
  </si>
  <si>
    <t xml:space="preserve">Sodium hydroxide (caustic soda) mix (100%) </t>
  </si>
  <si>
    <t>Water</t>
  </si>
  <si>
    <t>Water (deionised)</t>
  </si>
  <si>
    <t xml:space="preserve">Lithium Hexaflurophosphate </t>
  </si>
  <si>
    <t>Lithium Hexaflurophosphate (LiPF6)</t>
  </si>
  <si>
    <t>JP</t>
  </si>
  <si>
    <t>Separator</t>
  </si>
  <si>
    <t>Polyamide foil</t>
  </si>
  <si>
    <t>Polyamide foil (PA 6) (without additives)</t>
  </si>
  <si>
    <t>Polyethylene terephthalate foil</t>
  </si>
  <si>
    <t>Polyethylene terephthalate foil (PET) (without additives)</t>
  </si>
  <si>
    <t>Polypropylene film</t>
  </si>
  <si>
    <t>Polypropylene Film (PP) without additives</t>
  </si>
  <si>
    <t>Polyethylene foil</t>
  </si>
  <si>
    <t>Polyethylene foil (PE-HD) without additives</t>
  </si>
  <si>
    <t>Passive components per cell</t>
  </si>
  <si>
    <t>Cell casing</t>
  </si>
  <si>
    <t>Steel nickel plated</t>
  </si>
  <si>
    <t>Nickel mix</t>
  </si>
  <si>
    <t>Aluminium sheet</t>
  </si>
  <si>
    <t>Aluminium sheet mix</t>
  </si>
  <si>
    <t>Polybutylene Terephthalate Granulate</t>
  </si>
  <si>
    <t>Polybutylene Terephthalate Granulate (PBT) Mix</t>
  </si>
  <si>
    <t>Polyethylene Film</t>
  </si>
  <si>
    <t>Polyethylene Film (PE-HD) without additives</t>
  </si>
  <si>
    <t>Polypropylene Film</t>
  </si>
  <si>
    <t>Steel sheet</t>
  </si>
  <si>
    <t>Copper</t>
  </si>
  <si>
    <t>Copper mix (99,999% from electrolysis)</t>
  </si>
  <si>
    <t>Battery casing</t>
  </si>
  <si>
    <t>OEM system</t>
  </si>
  <si>
    <t>BCU (E-MOBILITY)</t>
  </si>
  <si>
    <t>Switch PCB</t>
  </si>
  <si>
    <t>Switch PCB (EPTA)</t>
  </si>
  <si>
    <t>Polyethylene foil (PE-HD) (without additives)</t>
  </si>
  <si>
    <t>Polypropylene Granulate (PP)</t>
  </si>
  <si>
    <t>BMU (E-MOBILITY)</t>
  </si>
  <si>
    <t>Connector</t>
  </si>
  <si>
    <t>Connector (small, w/o Au, PBTGF30 Basis - Automotive)</t>
  </si>
  <si>
    <t>Charger</t>
  </si>
  <si>
    <t>Power</t>
  </si>
  <si>
    <t xml:space="preserve">Charger </t>
  </si>
  <si>
    <t>Charger EPTA</t>
  </si>
  <si>
    <t>Recharge/ts</t>
  </si>
  <si>
    <t>2010-2012</t>
  </si>
  <si>
    <t>Passive cooling system</t>
  </si>
  <si>
    <t>Safety management unit</t>
  </si>
  <si>
    <t>ThMU (E-MOBILITY)</t>
  </si>
  <si>
    <t>Aluminium extrusion profile</t>
  </si>
  <si>
    <t>Aluminium extrusion profile &lt;t-agg&gt;</t>
  </si>
  <si>
    <t>Aluminium ingot</t>
  </si>
  <si>
    <t>Aluminium ingot mix PE</t>
  </si>
  <si>
    <t>Polypropylene Granulate</t>
  </si>
  <si>
    <t>Others</t>
  </si>
  <si>
    <t>Tap water</t>
  </si>
  <si>
    <t>Auxiliary materials</t>
  </si>
  <si>
    <t>Hydrochloric acid mix (100%)</t>
  </si>
  <si>
    <t>n-Methylpyrolidone (NMP)</t>
  </si>
  <si>
    <t>Nitric acid (98%)</t>
  </si>
  <si>
    <t>Waste water treatment</t>
  </si>
  <si>
    <t>Municipal waste water treatment (sludge incineration)</t>
  </si>
  <si>
    <t>Use stage (recharging loses)</t>
  </si>
  <si>
    <t>End-of-life stage (recycling)</t>
  </si>
  <si>
    <t>Multi-functionality end-of-life situations (PEF annex V)</t>
  </si>
  <si>
    <t>Battery cell recycling</t>
  </si>
  <si>
    <t xml:space="preserve">Electricity grid mix </t>
  </si>
  <si>
    <t xml:space="preserve">Thermal energy from natural gas </t>
  </si>
  <si>
    <t xml:space="preserve">Tap water </t>
  </si>
  <si>
    <t>Lime (CaO; quicklime lumpy)</t>
  </si>
  <si>
    <t>Hard coal mix</t>
  </si>
  <si>
    <t xml:space="preserve">Sulphuric acid (96%) </t>
  </si>
  <si>
    <t>Landfill for inert matter (Steel)</t>
  </si>
  <si>
    <t>Battery cell recycling credits (depending on cell composition)</t>
  </si>
  <si>
    <t xml:space="preserve">Process steam from natural gas 90% </t>
  </si>
  <si>
    <t xml:space="preserve">Rare earth elements - extraction (Sichuan) </t>
  </si>
  <si>
    <t xml:space="preserve">Manganese sulphate (estimation)  </t>
  </si>
  <si>
    <t xml:space="preserve">Nickel Sulfate from electrolytnickel </t>
  </si>
  <si>
    <t>CDI/ts</t>
  </si>
  <si>
    <t>Passive parts recycling</t>
  </si>
  <si>
    <t xml:space="preserve">EAF Steel billet / Slab / Bloom </t>
  </si>
  <si>
    <t xml:space="preserve">Aluminium recycling (2010) </t>
  </si>
  <si>
    <t>EAA</t>
  </si>
  <si>
    <t xml:space="preserve">Landfill for inert matter </t>
  </si>
  <si>
    <t xml:space="preserve">Recycling of copper from electronic scrap </t>
  </si>
  <si>
    <t>Plastic granulate secondary</t>
  </si>
  <si>
    <t>Passive parts credits</t>
  </si>
  <si>
    <t>Aluminium ingot mix</t>
  </si>
  <si>
    <t xml:space="preserve">Stainless Steel slab (X6CrNi17) </t>
  </si>
  <si>
    <t>Polyethylene Low Density Granulate (LDPE/PE-LD)</t>
  </si>
  <si>
    <t>Recycling of gold from electronic scrap</t>
  </si>
  <si>
    <t>Recycling of palladium from electronic scrap</t>
  </si>
  <si>
    <t xml:space="preserve">Recycling of silver from electronic scrap </t>
  </si>
  <si>
    <t xml:space="preserve">Waste incineration of glass/inert material </t>
  </si>
  <si>
    <t>ELCD/ CEWEP</t>
  </si>
  <si>
    <t xml:space="preserve">Gold mix </t>
  </si>
  <si>
    <t xml:space="preserve">Palladium mix </t>
  </si>
  <si>
    <t>Silver mix</t>
  </si>
  <si>
    <t>Unsorted fraction credits</t>
  </si>
  <si>
    <t>Power tool</t>
  </si>
  <si>
    <t>ICT</t>
  </si>
  <si>
    <t>e-mobility</t>
  </si>
  <si>
    <t>Li-ion (power)</t>
  </si>
  <si>
    <t>Li-ion (energy)</t>
  </si>
  <si>
    <t>NiMH</t>
  </si>
  <si>
    <t>Li-ion 
(Large/ EV)</t>
  </si>
  <si>
    <t>Transport mode</t>
  </si>
  <si>
    <t>Truck-trailer</t>
  </si>
  <si>
    <t>Diesel mix at refinery</t>
  </si>
  <si>
    <t>Rail transport cargo - average</t>
  </si>
  <si>
    <t>Bulk commodity carrier</t>
  </si>
  <si>
    <t>Light fuel oil at refinery</t>
  </si>
  <si>
    <t xml:space="preserve">Heavy fuel oil at refinery </t>
  </si>
  <si>
    <t>PEFCR name</t>
  </si>
  <si>
    <t xml:space="preserve">PEFCR version applied </t>
  </si>
  <si>
    <t>Representative Product</t>
  </si>
  <si>
    <t>Functional Unit Definition</t>
  </si>
  <si>
    <t>Reference flow</t>
  </si>
  <si>
    <t>Graphical representation of model</t>
  </si>
  <si>
    <t>Europe</t>
  </si>
  <si>
    <t xml:space="preserve">EF compliant dataset used
</t>
  </si>
  <si>
    <t xml:space="preserve">Core process </t>
  </si>
  <si>
    <t>Product Environmental Footprint Category Rules on High Specific Energy Rechargeable Batteries for Mobile Applications</t>
  </si>
  <si>
    <t>G version - April 2017</t>
  </si>
  <si>
    <t>1 kWh (kilowatt-hour) of the total energy provided over the service life by the battery system (measured in kWh)</t>
  </si>
  <si>
    <t>Electrodes manufacture, cell assembly and formation and battery assembly</t>
  </si>
  <si>
    <t>total energy [kWh] required per application</t>
  </si>
  <si>
    <t>CPT Li-ion - Cordless power tool, ICT Li-ion &amp; NiMH - Information and Communication Technology, e-mobility Li-ion - Electric vehicles</t>
  </si>
  <si>
    <t>Default amount per FU</t>
  </si>
  <si>
    <t xml:space="preserve">Aluminium extrusion </t>
  </si>
  <si>
    <t>EU-28+EFTA</t>
  </si>
  <si>
    <t>no</t>
  </si>
  <si>
    <t>Aluminium ingot mix (high purity)</t>
  </si>
  <si>
    <t>Aluminium sheet rolling</t>
  </si>
  <si>
    <t>Carbon black, general purposes production</t>
  </si>
  <si>
    <t>RER</t>
  </si>
  <si>
    <t>n.a.</t>
  </si>
  <si>
    <t>not available in PEF DB</t>
  </si>
  <si>
    <t>Cobalt</t>
  </si>
  <si>
    <t>yes</t>
  </si>
  <si>
    <t>worst case proxy (overestimate)</t>
  </si>
  <si>
    <t>Connector for printed wiring board (PWB)</t>
  </si>
  <si>
    <t>Copper sheet</t>
  </si>
  <si>
    <t>foil and CN process needed</t>
  </si>
  <si>
    <t>Copper cathode</t>
  </si>
  <si>
    <t>GLO needed</t>
  </si>
  <si>
    <t>dimethyl carbonate production</t>
  </si>
  <si>
    <t>ethylene carbonate production</t>
  </si>
  <si>
    <t>best case proxy (underestimate) / CN process needed</t>
  </si>
  <si>
    <t>Hydrochloric acid production</t>
  </si>
  <si>
    <t>lithium carbonate production</t>
  </si>
  <si>
    <t>lithium hydroxide production</t>
  </si>
  <si>
    <t>Manganese</t>
  </si>
  <si>
    <t>Manganese sulphate production</t>
  </si>
  <si>
    <t>Treatment of residential wastewater, large plant</t>
  </si>
  <si>
    <t>Nickel</t>
  </si>
  <si>
    <t>Nickel sulphate production</t>
  </si>
  <si>
    <t>Nitric acid production</t>
  </si>
  <si>
    <t>methylpyrolidone production</t>
  </si>
  <si>
    <t>Nylon 6 granulate</t>
  </si>
  <si>
    <t>Polybutylene Terephthalate (PBT) Granulate</t>
  </si>
  <si>
    <t>Plastic Film, PE</t>
  </si>
  <si>
    <t>Plastic Film, PET</t>
  </si>
  <si>
    <t>Plastic Film, PP</t>
  </si>
  <si>
    <t>PP granulates</t>
  </si>
  <si>
    <t>Polyvinylidene fluoride (PVDF)</t>
  </si>
  <si>
    <t>potassium hydroxide production</t>
  </si>
  <si>
    <t>Polycarbonate (PC) granulate</t>
  </si>
  <si>
    <t>Sodium hydroxide production</t>
  </si>
  <si>
    <t>Steel cold rolled coil / Steel cast part alloyed</t>
  </si>
  <si>
    <t>Styrene-butadiene rubber (SBR)</t>
  </si>
  <si>
    <t>Sulphuric acid production (100%)</t>
  </si>
  <si>
    <t>Populated Printed wiring board (PWB) (2-layer)</t>
  </si>
  <si>
    <t>De-ionised water production</t>
  </si>
  <si>
    <t>Zinc</t>
  </si>
  <si>
    <t>some water flows appear open</t>
  </si>
  <si>
    <t>Lime production</t>
  </si>
  <si>
    <t>documentation is incomplete not sure if correct</t>
  </si>
  <si>
    <t>Landfill of inert (steel)</t>
  </si>
  <si>
    <t>Process steam from natural gas</t>
  </si>
  <si>
    <t>Rare earth concentrate</t>
  </si>
  <si>
    <t>Recycling of steel into steel scrap: Steel billet (St)</t>
  </si>
  <si>
    <t>Recycling of aluminium into aluminium scrap - from post-consumer</t>
  </si>
  <si>
    <t>Landfill of inert material (other materials)</t>
  </si>
  <si>
    <t>Recycling of copper from electronic and electric waste</t>
  </si>
  <si>
    <t>LDPE granulates</t>
  </si>
  <si>
    <t>Recycling of gold from electronic and electric scrap</t>
  </si>
  <si>
    <t>Recycling of palladium, from electronic and electric scrap</t>
  </si>
  <si>
    <t>Recycling of silver, from electronic and electric scrap</t>
  </si>
  <si>
    <t>Waste incineration of inert material</t>
  </si>
  <si>
    <t>Gold (primary route)</t>
  </si>
  <si>
    <t>Palladium</t>
  </si>
  <si>
    <t>Silver</t>
  </si>
  <si>
    <t>PEFCR Geographical reference</t>
  </si>
  <si>
    <t>EF Geographical reference</t>
  </si>
  <si>
    <t>Comment</t>
  </si>
  <si>
    <t>Power_electrode</t>
  </si>
  <si>
    <t>Power_cell forming</t>
  </si>
  <si>
    <t>Power_battery assembly</t>
  </si>
  <si>
    <t>Unit (output)</t>
  </si>
  <si>
    <t>kg/kg battery</t>
  </si>
  <si>
    <t>MJ/kg battery</t>
  </si>
  <si>
    <t>Rare earth</t>
  </si>
  <si>
    <t xml:space="preserve">EU-28+EFTA </t>
  </si>
  <si>
    <t>Proxy (yes/no)</t>
  </si>
  <si>
    <t>kWh/kg battery</t>
  </si>
  <si>
    <t>Recycling of OEM electronic parts</t>
  </si>
  <si>
    <t>OEM electronic parts credits</t>
  </si>
  <si>
    <t>OEM parts credits</t>
  </si>
  <si>
    <t>Recycling of OEM parts</t>
  </si>
  <si>
    <t>Waste incineration of glass/inert material</t>
  </si>
  <si>
    <t>Landfill for inert matter</t>
  </si>
  <si>
    <t>Treatment of unsorted battery fraction</t>
  </si>
  <si>
    <t>PEFCR dataset name</t>
  </si>
  <si>
    <t>PEFCR country</t>
  </si>
  <si>
    <t>Articulated lorry transport, Euro 4, Total weight &gt;32 t (without fuel)</t>
  </si>
  <si>
    <t>Freight train, average (without fuel)</t>
  </si>
  <si>
    <t xml:space="preserve">Electricity grid mix 1kV-60kV </t>
  </si>
  <si>
    <t>Transoceanic ship, bulk</t>
  </si>
  <si>
    <t>fuel included in ship process</t>
  </si>
  <si>
    <t>From PEFCR transport distances and modes:</t>
  </si>
  <si>
    <t>PEFCR Dataset name (GaBi ts dataset)</t>
  </si>
  <si>
    <t>GaBi ts dataset</t>
  </si>
  <si>
    <t>Steel cast part alloyed</t>
  </si>
  <si>
    <t>Name of the process*</t>
  </si>
  <si>
    <t>Unit of measurement (output)</t>
  </si>
  <si>
    <t>Dataset source</t>
  </si>
  <si>
    <t>UUID</t>
  </si>
  <si>
    <t>Most relevant process [Y/N]</t>
  </si>
  <si>
    <t>P</t>
  </si>
  <si>
    <t>TiR</t>
  </si>
  <si>
    <t>GR</t>
  </si>
  <si>
    <t>TeR</t>
  </si>
  <si>
    <t>Flow</t>
  </si>
  <si>
    <t>Quantity</t>
  </si>
  <si>
    <t>Amount</t>
  </si>
  <si>
    <t>Unit</t>
  </si>
  <si>
    <t>From urban, discontinuously built [Transformation]</t>
  </si>
  <si>
    <t>Area</t>
  </si>
  <si>
    <t>sqm</t>
  </si>
  <si>
    <t>per year</t>
  </si>
  <si>
    <t>Industrial area [Occupation]</t>
  </si>
  <si>
    <t>Areatime</t>
  </si>
  <si>
    <t>m2*yr</t>
  </si>
  <si>
    <t>To industrial area [Transformation]</t>
  </si>
  <si>
    <t>Transport</t>
  </si>
  <si>
    <t>Truck</t>
  </si>
  <si>
    <t>Diesel</t>
  </si>
  <si>
    <t>Electricity</t>
  </si>
  <si>
    <t>Rail</t>
  </si>
  <si>
    <t>Ship</t>
  </si>
  <si>
    <t>kg/km</t>
  </si>
  <si>
    <t>kg</t>
  </si>
  <si>
    <t>Geografical reference</t>
  </si>
  <si>
    <t>Use stage</t>
  </si>
  <si>
    <t>EoL stage</t>
  </si>
  <si>
    <t>Default dataset to be used (PEF compliant)</t>
  </si>
  <si>
    <t>PEF DB</t>
  </si>
  <si>
    <t>{34960d4d-af62-43a0-aa76-adc5fcf57246}</t>
  </si>
  <si>
    <t>{8233263a-bf2e-416e-97a4-7f632248075a}</t>
  </si>
  <si>
    <t>{212b8494-a769-4c2e-8d82-9a6ef61baad7}</t>
  </si>
  <si>
    <t>{d5953cab-21fd-44ea-ab3a-17a44ed3c260}</t>
  </si>
  <si>
    <t>{d869bd05-01fa-4f49-8610-f3ffb48a6bd1}</t>
  </si>
  <si>
    <t>{153d694d-6e48-47c4-9797-ff4bb6678612}</t>
  </si>
  <si>
    <t>{8040e11a-715f-4cd9-823c-a57124a553b2}</t>
  </si>
  <si>
    <t>{f5ec4a19-70da-406d-be31-a7eeef2f8372}</t>
  </si>
  <si>
    <t>{49a32f83-b59d-4f7b-b0f6-2efe9f9997aa}</t>
  </si>
  <si>
    <t>{c76002c7-dfef-4d17-a100-fecd7910cfad}</t>
  </si>
  <si>
    <t>{cb8a2255-c375-4d5d-9402-d62ca38787d7}</t>
  </si>
  <si>
    <t>{fde4abff-7cd7-4535-b472-481321d7d936}</t>
  </si>
  <si>
    <t>{38085a7e-98a3-4b5d-9381-8cefce00cc27}</t>
  </si>
  <si>
    <t>{bb78c02b-70da-4e9e-a5a3-c5c45a5dcdb0}</t>
  </si>
  <si>
    <t>{8fd31112-01c1-46d3-8c8d-29e2bdfa6e38}</t>
  </si>
  <si>
    <t>{5312a57a-4dc4-4ee7-9c77-72afdd38f1ea}</t>
  </si>
  <si>
    <t>{4d5a1b20-880a-4e48-8206-972f35bf27c1}</t>
  </si>
  <si>
    <t xml:space="preserve">Steel cold rolled coil </t>
  </si>
  <si>
    <t>{3e5ff637-ffc2-4920-9051-11055b1d2d18}</t>
  </si>
  <si>
    <t>{b848a196-e27e-4e8e-953e-7de7cbc54c57}</t>
  </si>
  <si>
    <t>{3b369ae8-1f45-47ed-8dcf-af5f71593067}</t>
  </si>
  <si>
    <t>{2ba49ead-4683-4671-bded-d52b80215e9e}</t>
  </si>
  <si>
    <t>{eb6abe54-7e5d-4ee4-b3f1-08c1e220ef94}</t>
  </si>
  <si>
    <t>Sulphuric acid production</t>
  </si>
  <si>
    <t>{e57086c5-1bde-4f28-ac57-ac7d72db18bc}</t>
  </si>
  <si>
    <t>{d27a6fb8-561d-4c2a-aea3-0d0a9fd80621}</t>
  </si>
  <si>
    <t>{663a2d9b-f7ab-4941-8a27-80e96413c1d1}</t>
  </si>
  <si>
    <t>{57d3c404-37e1-4077-9c55-93c51f590997}</t>
  </si>
  <si>
    <t>{e7202044-f727-4aa7-bfc4-a8cfd1ed5812}</t>
  </si>
  <si>
    <t>{d08bdd01-a59f-4f80-87e8-5ad30c6934d3}</t>
  </si>
  <si>
    <t>{b5f5bcfd-24d3-44f4-b583-d4fe503cee97}</t>
  </si>
  <si>
    <t>{216a7eca-761e-414f-a040-233478c88ffa}</t>
  </si>
  <si>
    <t>{01bdd631-5c7a-4e0f-9b4d-f4a9996f9a5c}</t>
  </si>
  <si>
    <t>{3f9f3fb2-1aad-4cdf-a419-928c9818d62d}</t>
  </si>
  <si>
    <t>{cc8ee5f1-84b3-4e04-bae3-6a531aafb606}</t>
  </si>
  <si>
    <t>{1dd6e422-65eb-4bdb-ba1c-ee0aff723580}</t>
  </si>
  <si>
    <t>{51bb1958-c494-4490-a080-c453e90d4d7d}</t>
  </si>
  <si>
    <t>World w/o EU-28+EFTA</t>
  </si>
  <si>
    <t>{91064ae4-3cf1-4b09-a430-9e01488ad11b}</t>
  </si>
  <si>
    <t>World</t>
  </si>
  <si>
    <t>{eb6c15a5-abcd-4d1a-ab7f-fb1cc364a130}</t>
  </si>
  <si>
    <t>{79ad97bb-fd4e-41d5-8e61-8ef9c2406ba6}</t>
  </si>
  <si>
    <t>Cable, three-conductor cable</t>
  </si>
  <si>
    <t>Steel external plug</t>
  </si>
  <si>
    <t>Populated Printed wiring board (PWB) (8-layer)</t>
  </si>
  <si>
    <t>Charger components EPTA u-so</t>
  </si>
  <si>
    <t>{dc2bdc1b-6b7d-4ac5-a838-9d22f468dde0}</t>
  </si>
  <si>
    <t>EPTA / Recharge</t>
  </si>
  <si>
    <t>{0ced4acc-2a9f-4179-9801-c22795a47f6c}</t>
  </si>
  <si>
    <t>{26c88ecd-a9a3-4b36-b6ab-c5b14d896e82}</t>
  </si>
  <si>
    <t>{3b2e60de-2e05-4761-9c0d-06fb9320db9f}</t>
  </si>
  <si>
    <t>{e3f12a3b-6cb9-49ab-b437-f6f7df83ec62}</t>
  </si>
  <si>
    <t>{f6af2ce4-e899-46d3-8806-9bb34e3b32e4}</t>
  </si>
  <si>
    <t>{366a0afd-88e4-45dc-999a-8acc20fd0ead}</t>
  </si>
  <si>
    <t>{938d5ba6-17e4-4f0d-bef0-481608681f57}</t>
  </si>
  <si>
    <t>{da248653-790b-44bf-9e43-d4ae66cafbe1}</t>
  </si>
  <si>
    <t>{02e87631-6d70-48ce-affd-1975dc36f5be}</t>
  </si>
  <si>
    <t>{82b202c3-826c-4053-b49f-bc6ef737420a}</t>
  </si>
  <si>
    <t>{81675341-f1af-44b0-81d3-d108caef5c28}</t>
  </si>
  <si>
    <t>{2e8bee44-f13b-4622-9af3-74954af8acea}</t>
  </si>
  <si>
    <t>{64e2bd59-5f61-4eb3-bfd7-d19c3aec60b5}</t>
  </si>
  <si>
    <t>{932ce7a6-5bc6-41be-ad62-8daad6c5355c}</t>
  </si>
  <si>
    <t xml:space="preserve">Sulphuric acid production </t>
  </si>
  <si>
    <t>Sodium hydroxide (caustic soda) mix</t>
  </si>
  <si>
    <t>{33d6d221-f91d-4a33-9b00-9fb1ea8cd3ca}</t>
  </si>
  <si>
    <t>{dadc8eb8-3ebe-4114-afc4-90d45a0b74b4}</t>
  </si>
  <si>
    <t>{c4f3bfde-c15f-4f7f-8d35-bed6241704db}</t>
  </si>
  <si>
    <t>{448ab0f1-4dd6-4d85-b654-35736bb772f4}</t>
  </si>
  <si>
    <t>{1827dd93-8b53-4b5c-8430-01d10d51e86c}</t>
  </si>
  <si>
    <t>{d327f4a5-93a1-4ead-856c-aeb8b2f25080}</t>
  </si>
  <si>
    <t>{27f18feb-4aa7-4c49-a495-6849945890bf}</t>
  </si>
  <si>
    <t>{012626e4-62d9-4ac9-b1dd-9d9a42a611c5}</t>
  </si>
  <si>
    <t>{502a8a4f-c7bc-4d3c-87ce-44c3aad3e332}</t>
  </si>
  <si>
    <t>{e8e47de2-87ef-41cf-b202-51d15a9e77cc}</t>
  </si>
  <si>
    <t>{93eeb7db-08d5-4695-bfb4-a3d4280381d8}</t>
  </si>
  <si>
    <t>{a28acad1-3e38-45fd-b071-eca95457b624}</t>
  </si>
  <si>
    <t>{55cd3dde-21f9-47f8-8f15-bc319c732107}</t>
  </si>
  <si>
    <t>MJ</t>
  </si>
  <si>
    <t>Most relevant Impact categories - normalized and weighted results</t>
  </si>
  <si>
    <t>(categorized results)</t>
  </si>
  <si>
    <t>DQR average</t>
  </si>
  <si>
    <t>Impact category</t>
  </si>
  <si>
    <t>Contribution to the total impact (%)</t>
  </si>
  <si>
    <t xml:space="preserve">CPT - Li-ion </t>
  </si>
  <si>
    <t xml:space="preserve">ICT - Li-ion </t>
  </si>
  <si>
    <t>ICT - NiMH</t>
  </si>
  <si>
    <t>e-mobility Li-ion</t>
  </si>
  <si>
    <t>Acidification terrestrial and freshwater [Mole of H+ eq.]</t>
  </si>
  <si>
    <t>Cancer human health effects [CTUh]</t>
  </si>
  <si>
    <t>Climate Change [kg CO2 eq.]</t>
  </si>
  <si>
    <t>Climate Change (biogenic) [kg CO2 eq.]</t>
  </si>
  <si>
    <t>Climate Change (fossil) [kg CO2 eq.]</t>
  </si>
  <si>
    <t>Climate Change (land use change) [kg CO2 eq.]</t>
  </si>
  <si>
    <t>Ecotoxicity freshwater [CTUe]</t>
  </si>
  <si>
    <t>Eutrophication freshwater [kg P eq.]</t>
  </si>
  <si>
    <t>Eutrophication marine [kg N eq.]</t>
  </si>
  <si>
    <t>Eutrophication terrestrial [Mole of N eq.]</t>
  </si>
  <si>
    <t>Ionising radiation - human health [kBq U235 eq.]</t>
  </si>
  <si>
    <t>Land Use [Pt]</t>
  </si>
  <si>
    <t>Non-cancer human health effects [CTUh]</t>
  </si>
  <si>
    <t>Ozone depletion [kg CFC-11 eq.]</t>
  </si>
  <si>
    <t>Photochemical ozone formation - human health [kg NMVOC eq.]</t>
  </si>
  <si>
    <t>Resource use, energy carriers [MJ]</t>
  </si>
  <si>
    <t>Resource use, mineral and metals [kg Sb eq.]</t>
  </si>
  <si>
    <t>Respiratory inorganics [kg PM2.5 eq.]</t>
  </si>
  <si>
    <t>Water scarcity [m³ world equiv.]</t>
  </si>
  <si>
    <t>End-of-Life</t>
  </si>
  <si>
    <t>Product distribution</t>
  </si>
  <si>
    <t>Production of the main product</t>
  </si>
  <si>
    <t>Raw Material acquisition</t>
  </si>
  <si>
    <t>CPT - Li-ion battery</t>
  </si>
  <si>
    <t>ICT - NiMH battery</t>
  </si>
  <si>
    <t>ICT - Li-ion battery</t>
  </si>
  <si>
    <t>e-mobility Li-ion battery</t>
  </si>
  <si>
    <t>Acidification terrestrial and freshwater</t>
  </si>
  <si>
    <t>Cancer human health effects</t>
  </si>
  <si>
    <t>Ecotoxicity freshwater</t>
  </si>
  <si>
    <t>Eutrophication freshwater</t>
  </si>
  <si>
    <t>Eutrophication marine</t>
  </si>
  <si>
    <t>Eutrophication terrestrial</t>
  </si>
  <si>
    <t>Land Use</t>
  </si>
  <si>
    <t>Non-cancer human health effects</t>
  </si>
  <si>
    <t>Ozone depletion</t>
  </si>
  <si>
    <t>Photochemical ozone formation - human health</t>
  </si>
  <si>
    <t>Resource use, energy carriers</t>
  </si>
  <si>
    <t>Resource use, mineral and metals</t>
  </si>
  <si>
    <t>Respiratory inorganics</t>
  </si>
  <si>
    <t>Ionising radiation - human health</t>
  </si>
  <si>
    <t>Water scarcity</t>
  </si>
  <si>
    <t>Life cycle stage</t>
  </si>
  <si>
    <t>End-of-life</t>
  </si>
  <si>
    <t xml:space="preserve">Product distribution </t>
  </si>
  <si>
    <t>Unit process / Contribution % (excluding toxicity impact categories)</t>
  </si>
  <si>
    <t>Default DQR (estimated)</t>
  </si>
  <si>
    <t xml:space="preserve">Raw material acquisition </t>
  </si>
  <si>
    <t xml:space="preserve">EU-28+3: Electricity grid mix 1kV-60kV </t>
  </si>
  <si>
    <t>EPTA: Charger</t>
  </si>
  <si>
    <t>GLO: Nickel</t>
  </si>
  <si>
    <t>Most relevant Life Cycle Stages - charaterized results per functional unit 1kWh</t>
  </si>
  <si>
    <t>LiNiMnCoO</t>
  </si>
  <si>
    <t>LiMn</t>
  </si>
  <si>
    <t>Benchmark - charaterized results excluding toxicity impact categories</t>
  </si>
  <si>
    <t>not available in PEF DB / data gap cover with GaBi data</t>
  </si>
  <si>
    <t>//</t>
  </si>
  <si>
    <t>Plastic granulate secondary (low metal contamination)</t>
  </si>
  <si>
    <t>EU-28</t>
  </si>
  <si>
    <t>EPTA:Charger</t>
  </si>
  <si>
    <t>LiCoO</t>
  </si>
  <si>
    <t>&gt;80% cumulative contribution (Absolute values)</t>
  </si>
  <si>
    <t>Absolute numbers (w/o normalization &amp; weighting) per functional unit 1kWh</t>
  </si>
  <si>
    <t>Value</t>
  </si>
  <si>
    <t>Battery</t>
  </si>
  <si>
    <t>Amount of cells</t>
  </si>
  <si>
    <t>number</t>
  </si>
  <si>
    <t xml:space="preserve">Total energy delivered over the life time </t>
  </si>
  <si>
    <t>kWh</t>
  </si>
  <si>
    <t>Conversion to unit analysis</t>
  </si>
  <si>
    <t>kg/kWh</t>
  </si>
  <si>
    <t xml:space="preserve"> Conversion factors to functional unit</t>
  </si>
  <si>
    <t>Copper Concentrate (Mining, mix technologies)</t>
  </si>
  <si>
    <t>{beacade4-7521-4844-a79d-18724142842f}</t>
  </si>
  <si>
    <t>Copper billet/slab (smelting and refining to produce primary copper cathode)</t>
  </si>
  <si>
    <t>{664b08b1-9025-4d25-acab-eb138575848f}</t>
  </si>
  <si>
    <t>Climate Change (biogenic)</t>
  </si>
  <si>
    <t>Climate Change (fossil)</t>
  </si>
  <si>
    <t>Climate Change (land use change)</t>
  </si>
  <si>
    <t>Acidification terrestrial &amp; freshwater [Mole of H+ eq.]</t>
  </si>
  <si>
    <t xml:space="preserve">Acidification terrestrial &amp; freshwater </t>
  </si>
  <si>
    <t>Impact category (1.8.9.oct)</t>
  </si>
  <si>
    <t>EF 1.8.9oct with tox categories</t>
  </si>
  <si>
    <t>EF 1.8.9oct without tox categories</t>
  </si>
  <si>
    <t>Total Life Cycle</t>
  </si>
  <si>
    <t>Only Use stage</t>
  </si>
  <si>
    <t>CPT - Li-ion 
(Use stage)</t>
  </si>
  <si>
    <t>ICT - Li-ion 
(Use stage)</t>
  </si>
  <si>
    <t>ICT - NiMH 
(Use stage)</t>
  </si>
  <si>
    <t>e-mobility Li-ion 
(Use stage)</t>
  </si>
  <si>
    <t>Absolute numbers - normalized and weighted results per functional unit 1kWh</t>
  </si>
  <si>
    <t>Benchmark - normalized and weighted results excluding toxicity impact categories</t>
  </si>
  <si>
    <t>{7f5194b3-6d79-4cf2-9627-580025851cd5}</t>
  </si>
  <si>
    <t>Nickel (updated)</t>
  </si>
  <si>
    <t>better option compared to sulphate data which seems overestimated</t>
  </si>
  <si>
    <t>Hotspots &gt;80% cumulative contribution to most relevant impact  categories</t>
  </si>
  <si>
    <t>CN: Rare earth concentrate</t>
  </si>
  <si>
    <t>EU-28+3: Process steam from natural gas</t>
  </si>
  <si>
    <t>GLO: Cobalt</t>
  </si>
  <si>
    <t>EU-28+3: Aluminium ingot mix (high purity)</t>
  </si>
  <si>
    <t>GLO: Ferronickel</t>
  </si>
  <si>
    <t>RER: Carbon black, general purposes production</t>
  </si>
  <si>
    <t>RER: methylpyrolidone production</t>
  </si>
  <si>
    <t>EU-28+EFTA: PP granulates</t>
  </si>
  <si>
    <t>World w/o EU-28+EFTA: Polycarbonate (PC) granulate</t>
  </si>
  <si>
    <t>GLO: Copper Cathode</t>
  </si>
  <si>
    <t>CN: Lithium Nickel Manganese Cobalt Oxide</t>
  </si>
  <si>
    <t>CN: LiCoO</t>
  </si>
  <si>
    <t>GLO: Copper sheet</t>
  </si>
  <si>
    <t>Thermal managment unit</t>
  </si>
  <si>
    <t xml:space="preserve">GLO: Copper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</si>
</sst>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0.0%"/>
    <numFmt numFmtId="167" formatCode="0.0E+00"/>
  </numFmts>
  <fonts count="25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0"/>
      <name val="Arial"/>
      <family val="2"/>
    </font>
    <font>
      <sz val="10"/>
      <color theme="1" tint="0.34998626667073579"/>
      <name val="Arial"/>
      <family val="2"/>
    </font>
    <font>
      <sz val="11"/>
      <color theme="1"/>
      <name val="Arial"/>
      <family val="2"/>
    </font>
    <font>
      <sz val="10"/>
      <color theme="1" tint="0.499984740745262"/>
      <name val="Arial"/>
      <family val="2"/>
    </font>
    <font>
      <sz val="10"/>
      <color theme="1" tint="0.499984740745262"/>
      <name val="Calibri"/>
      <family val="2"/>
      <scheme val="minor"/>
    </font>
    <font>
      <b/>
      <sz val="14"/>
      <color theme="1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2"/>
      <color theme="1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sz val="10"/>
      <color rgb="FF00B050"/>
      <name val="Arial"/>
      <family val="2"/>
    </font>
    <font>
      <b/>
      <sz val="12"/>
      <color theme="1"/>
      <name val="Arial"/>
      <family val="2"/>
    </font>
    <font>
      <sz val="10"/>
      <color theme="0" tint="-0.499984740745262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/>
      <top/>
      <bottom style="thin">
        <color theme="1" tint="0.24994659260841701"/>
      </bottom>
      <diagonal/>
    </border>
    <border>
      <left/>
      <right style="thin">
        <color theme="1" tint="0.24994659260841701"/>
      </right>
      <top/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theme="1" tint="0.24994659260841701"/>
      </right>
      <top/>
      <bottom/>
      <diagonal/>
    </border>
    <border>
      <left style="thin">
        <color theme="1" tint="0.2499465926084170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/>
      <right/>
      <top style="thin">
        <color theme="1" tint="0.24994659260841701"/>
      </top>
      <bottom style="thin">
        <color theme="1" tint="0.24994659260841701"/>
      </bottom>
      <diagonal/>
    </border>
    <border>
      <left/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theme="1" tint="0.24994659260841701"/>
      </right>
      <top/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theme="1" tint="0.24994659260841701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1" tint="0.24994659260841701"/>
      </right>
      <top/>
      <bottom/>
      <diagonal/>
    </border>
    <border>
      <left style="thin">
        <color theme="1" tint="0.24994659260841701"/>
      </left>
      <right/>
      <top style="thin">
        <color theme="1" tint="0.24994659260841701"/>
      </top>
      <bottom/>
      <diagonal/>
    </border>
    <border>
      <left/>
      <right/>
      <top style="thin">
        <color theme="1" tint="0.24994659260841701"/>
      </top>
      <bottom/>
      <diagonal/>
    </border>
    <border>
      <left style="thin">
        <color theme="1" tint="0.24994659260841701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/>
      <bottom/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/>
      <bottom style="thin">
        <color theme="0" tint="-0.499984740745262"/>
      </bottom>
      <diagonal/>
    </border>
    <border>
      <left/>
      <right style="thin">
        <color indexed="64"/>
      </right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indexed="64"/>
      </right>
      <top/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/>
      <bottom style="thin">
        <color theme="0" tint="-0.499984740745262"/>
      </bottom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64"/>
      </left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indexed="64"/>
      </bottom>
      <diagonal/>
    </border>
  </borders>
  <cellStyleXfs count="7">
    <xf numFmtId="0" fontId="0" fillId="0" borderId="0"/>
    <xf numFmtId="0" fontId="9" fillId="0" borderId="0"/>
    <xf numFmtId="0" fontId="2" fillId="0" borderId="0"/>
    <xf numFmtId="0" fontId="13" fillId="0" borderId="0"/>
    <xf numFmtId="0" fontId="2" fillId="0" borderId="0"/>
    <xf numFmtId="9" fontId="13" fillId="0" borderId="0" applyFont="0" applyFill="0" applyBorder="0" applyAlignment="0" applyProtection="0"/>
    <xf numFmtId="0" fontId="1" fillId="0" borderId="0"/>
  </cellStyleXfs>
  <cellXfs count="492">
    <xf numFmtId="0" fontId="0" fillId="0" borderId="0" xfId="0"/>
    <xf numFmtId="0" fontId="0" fillId="2" borderId="0" xfId="0" applyFill="1"/>
    <xf numFmtId="0" fontId="0" fillId="0" borderId="0" xfId="0" applyFill="1"/>
    <xf numFmtId="0" fontId="0" fillId="2" borderId="0" xfId="0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4" fillId="0" borderId="18" xfId="0" applyFont="1" applyFill="1" applyBorder="1" applyAlignment="1">
      <alignment horizontal="left" vertical="center" wrapText="1"/>
    </xf>
    <xf numFmtId="0" fontId="8" fillId="2" borderId="0" xfId="0" applyFont="1" applyFill="1"/>
    <xf numFmtId="0" fontId="9" fillId="0" borderId="0" xfId="1"/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0" fontId="8" fillId="10" borderId="0" xfId="0" applyFont="1" applyFill="1" applyBorder="1" applyAlignment="1">
      <alignment horizontal="center" vertical="center"/>
    </xf>
    <xf numFmtId="0" fontId="8" fillId="1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8" fillId="10" borderId="0" xfId="0" applyFont="1" applyFill="1" applyBorder="1" applyAlignment="1">
      <alignment horizontal="justify" vertical="center" wrapText="1"/>
    </xf>
    <xf numFmtId="0" fontId="8" fillId="10" borderId="0" xfId="0" applyFont="1" applyFill="1" applyBorder="1" applyAlignment="1">
      <alignment horizontal="justify" vertical="center"/>
    </xf>
    <xf numFmtId="0" fontId="8" fillId="10" borderId="0" xfId="0" applyFont="1" applyFill="1" applyBorder="1"/>
    <xf numFmtId="0" fontId="0" fillId="0" borderId="0" xfId="0" applyFill="1" applyAlignment="1">
      <alignment vertical="center"/>
    </xf>
    <xf numFmtId="0" fontId="7" fillId="11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0" fontId="8" fillId="2" borderId="0" xfId="0" applyFont="1" applyFill="1" applyAlignment="1">
      <alignment horizontal="center" vertical="center"/>
    </xf>
    <xf numFmtId="0" fontId="8" fillId="11" borderId="0" xfId="0" applyFont="1" applyFill="1" applyAlignment="1">
      <alignment vertical="center"/>
    </xf>
    <xf numFmtId="0" fontId="5" fillId="3" borderId="5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 wrapText="1"/>
    </xf>
    <xf numFmtId="0" fontId="5" fillId="4" borderId="9" xfId="0" applyFont="1" applyFill="1" applyBorder="1" applyAlignment="1">
      <alignment vertical="center"/>
    </xf>
    <xf numFmtId="0" fontId="5" fillId="4" borderId="10" xfId="0" applyFont="1" applyFill="1" applyBorder="1" applyAlignment="1">
      <alignment vertical="center"/>
    </xf>
    <xf numFmtId="0" fontId="5" fillId="4" borderId="11" xfId="0" applyFont="1" applyFill="1" applyBorder="1" applyAlignment="1">
      <alignment vertical="center"/>
    </xf>
    <xf numFmtId="0" fontId="6" fillId="7" borderId="9" xfId="0" applyFont="1" applyFill="1" applyBorder="1" applyAlignment="1">
      <alignment vertical="center"/>
    </xf>
    <xf numFmtId="0" fontId="6" fillId="7" borderId="10" xfId="0" applyFont="1" applyFill="1" applyBorder="1" applyAlignment="1">
      <alignment vertical="center"/>
    </xf>
    <xf numFmtId="0" fontId="6" fillId="7" borderId="11" xfId="0" applyFont="1" applyFill="1" applyBorder="1" applyAlignment="1">
      <alignment vertical="center"/>
    </xf>
    <xf numFmtId="0" fontId="8" fillId="0" borderId="5" xfId="0" applyFont="1" applyFill="1" applyBorder="1" applyAlignment="1">
      <alignment horizontal="left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1" fontId="8" fillId="0" borderId="5" xfId="0" applyNumberFormat="1" applyFont="1" applyBorder="1" applyAlignment="1">
      <alignment horizontal="center" vertical="center"/>
    </xf>
    <xf numFmtId="164" fontId="8" fillId="0" borderId="5" xfId="0" applyNumberFormat="1" applyFont="1" applyBorder="1" applyAlignment="1">
      <alignment horizontal="center" vertical="center"/>
    </xf>
    <xf numFmtId="165" fontId="8" fillId="0" borderId="5" xfId="0" applyNumberFormat="1" applyFont="1" applyFill="1" applyBorder="1" applyAlignment="1">
      <alignment horizontal="center" vertical="center" wrapText="1"/>
    </xf>
    <xf numFmtId="0" fontId="6" fillId="5" borderId="9" xfId="0" applyFont="1" applyFill="1" applyBorder="1" applyAlignment="1">
      <alignment vertical="center"/>
    </xf>
    <xf numFmtId="0" fontId="6" fillId="5" borderId="10" xfId="0" applyFont="1" applyFill="1" applyBorder="1" applyAlignment="1">
      <alignment vertical="center"/>
    </xf>
    <xf numFmtId="0" fontId="6" fillId="5" borderId="11" xfId="0" applyFont="1" applyFill="1" applyBorder="1" applyAlignment="1">
      <alignment vertical="center"/>
    </xf>
    <xf numFmtId="0" fontId="7" fillId="6" borderId="9" xfId="0" applyFont="1" applyFill="1" applyBorder="1" applyAlignment="1">
      <alignment vertical="center"/>
    </xf>
    <xf numFmtId="0" fontId="7" fillId="6" borderId="10" xfId="0" applyFont="1" applyFill="1" applyBorder="1" applyAlignment="1">
      <alignment vertical="center"/>
    </xf>
    <xf numFmtId="0" fontId="7" fillId="6" borderId="11" xfId="0" applyFont="1" applyFill="1" applyBorder="1" applyAlignment="1">
      <alignment vertical="center"/>
    </xf>
    <xf numFmtId="1" fontId="8" fillId="0" borderId="5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8" fillId="0" borderId="8" xfId="0" applyFont="1" applyFill="1" applyBorder="1" applyAlignment="1">
      <alignment horizontal="left" vertical="center" wrapText="1"/>
    </xf>
    <xf numFmtId="0" fontId="11" fillId="0" borderId="5" xfId="0" applyFont="1" applyFill="1" applyBorder="1" applyAlignment="1">
      <alignment horizontal="left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left" vertical="center" wrapText="1"/>
    </xf>
    <xf numFmtId="0" fontId="11" fillId="0" borderId="5" xfId="0" applyFont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/>
    </xf>
    <xf numFmtId="0" fontId="8" fillId="0" borderId="5" xfId="0" quotePrefix="1" applyFont="1" applyFill="1" applyBorder="1" applyAlignment="1">
      <alignment horizontal="center" vertical="center" wrapText="1"/>
    </xf>
    <xf numFmtId="0" fontId="5" fillId="9" borderId="9" xfId="0" applyFont="1" applyFill="1" applyBorder="1" applyAlignment="1">
      <alignment vertical="center"/>
    </xf>
    <xf numFmtId="0" fontId="5" fillId="9" borderId="10" xfId="0" applyFont="1" applyFill="1" applyBorder="1" applyAlignment="1">
      <alignment vertical="center"/>
    </xf>
    <xf numFmtId="0" fontId="5" fillId="9" borderId="11" xfId="0" applyFont="1" applyFill="1" applyBorder="1" applyAlignment="1">
      <alignment vertical="center"/>
    </xf>
    <xf numFmtId="0" fontId="8" fillId="0" borderId="11" xfId="0" applyFont="1" applyFill="1" applyBorder="1" applyAlignment="1">
      <alignment horizontal="left" vertical="center" wrapText="1"/>
    </xf>
    <xf numFmtId="0" fontId="8" fillId="0" borderId="16" xfId="0" applyFont="1" applyFill="1" applyBorder="1" applyAlignment="1">
      <alignment horizontal="left" vertical="center" wrapText="1"/>
    </xf>
    <xf numFmtId="0" fontId="8" fillId="0" borderId="7" xfId="0" applyFont="1" applyFill="1" applyBorder="1" applyAlignment="1">
      <alignment horizontal="left" vertical="center" wrapText="1"/>
    </xf>
    <xf numFmtId="0" fontId="8" fillId="0" borderId="18" xfId="0" applyFont="1" applyFill="1" applyBorder="1" applyAlignment="1">
      <alignment horizontal="left" vertical="center" wrapText="1"/>
    </xf>
    <xf numFmtId="164" fontId="8" fillId="0" borderId="0" xfId="0" applyNumberFormat="1" applyFont="1" applyAlignment="1">
      <alignment horizontal="center" vertical="center"/>
    </xf>
    <xf numFmtId="0" fontId="8" fillId="0" borderId="0" xfId="0" applyFont="1"/>
    <xf numFmtId="0" fontId="8" fillId="0" borderId="0" xfId="0" applyFont="1" applyFill="1" applyAlignment="1">
      <alignment vertical="center"/>
    </xf>
    <xf numFmtId="0" fontId="8" fillId="0" borderId="0" xfId="0" applyFont="1" applyFill="1"/>
    <xf numFmtId="0" fontId="8" fillId="0" borderId="0" xfId="0" applyFont="1" applyFill="1" applyBorder="1"/>
    <xf numFmtId="0" fontId="8" fillId="2" borderId="0" xfId="0" applyFont="1" applyFill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8" fillId="2" borderId="0" xfId="0" applyFont="1" applyFill="1" applyAlignment="1"/>
    <xf numFmtId="0" fontId="8" fillId="0" borderId="4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left" vertical="center" wrapText="1"/>
    </xf>
    <xf numFmtId="0" fontId="8" fillId="0" borderId="18" xfId="0" applyFont="1" applyFill="1" applyBorder="1" applyAlignment="1">
      <alignment horizontal="justify" vertical="center" wrapText="1"/>
    </xf>
    <xf numFmtId="0" fontId="8" fillId="0" borderId="18" xfId="0" applyFont="1" applyFill="1" applyBorder="1" applyAlignment="1">
      <alignment horizontal="justify" vertical="center"/>
    </xf>
    <xf numFmtId="0" fontId="8" fillId="0" borderId="18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vertical="center"/>
    </xf>
    <xf numFmtId="0" fontId="8" fillId="10" borderId="5" xfId="0" applyFont="1" applyFill="1" applyBorder="1" applyAlignment="1">
      <alignment horizontal="left" vertical="center"/>
    </xf>
    <xf numFmtId="0" fontId="8" fillId="10" borderId="5" xfId="0" applyFont="1" applyFill="1" applyBorder="1" applyAlignment="1">
      <alignment horizontal="center" vertical="center" wrapText="1"/>
    </xf>
    <xf numFmtId="0" fontId="8" fillId="10" borderId="5" xfId="0" applyFont="1" applyFill="1" applyBorder="1" applyAlignment="1">
      <alignment horizontal="left" vertical="center" wrapText="1"/>
    </xf>
    <xf numFmtId="0" fontId="8" fillId="10" borderId="5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10" borderId="18" xfId="0" applyFont="1" applyFill="1" applyBorder="1" applyAlignment="1">
      <alignment horizontal="left" vertical="center"/>
    </xf>
    <xf numFmtId="0" fontId="8" fillId="10" borderId="18" xfId="0" applyFont="1" applyFill="1" applyBorder="1" applyAlignment="1">
      <alignment horizontal="center" vertical="center" wrapText="1"/>
    </xf>
    <xf numFmtId="0" fontId="8" fillId="10" borderId="18" xfId="0" applyFont="1" applyFill="1" applyBorder="1" applyAlignment="1">
      <alignment horizontal="left" vertical="center" wrapText="1"/>
    </xf>
    <xf numFmtId="0" fontId="8" fillId="10" borderId="18" xfId="0" applyFont="1" applyFill="1" applyBorder="1" applyAlignment="1">
      <alignment horizontal="center" vertical="center"/>
    </xf>
    <xf numFmtId="0" fontId="8" fillId="10" borderId="18" xfId="0" applyFont="1" applyFill="1" applyBorder="1" applyAlignment="1">
      <alignment horizontal="justify" vertical="center" wrapText="1"/>
    </xf>
    <xf numFmtId="0" fontId="8" fillId="0" borderId="11" xfId="0" applyFont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7" fillId="6" borderId="20" xfId="0" applyFont="1" applyFill="1" applyBorder="1" applyAlignment="1">
      <alignment vertical="center"/>
    </xf>
    <xf numFmtId="0" fontId="7" fillId="6" borderId="21" xfId="0" applyFont="1" applyFill="1" applyBorder="1" applyAlignment="1">
      <alignment vertical="center"/>
    </xf>
    <xf numFmtId="0" fontId="7" fillId="6" borderId="6" xfId="0" applyFont="1" applyFill="1" applyBorder="1" applyAlignment="1">
      <alignment vertical="center"/>
    </xf>
    <xf numFmtId="0" fontId="7" fillId="6" borderId="3" xfId="0" applyFont="1" applyFill="1" applyBorder="1" applyAlignment="1">
      <alignment vertical="center"/>
    </xf>
    <xf numFmtId="0" fontId="8" fillId="0" borderId="18" xfId="0" applyFont="1" applyFill="1" applyBorder="1" applyAlignment="1">
      <alignment horizontal="center" vertical="center" wrapText="1"/>
    </xf>
    <xf numFmtId="0" fontId="8" fillId="0" borderId="18" xfId="0" applyFont="1" applyBorder="1"/>
    <xf numFmtId="0" fontId="8" fillId="10" borderId="18" xfId="0" applyFont="1" applyFill="1" applyBorder="1" applyAlignment="1">
      <alignment horizontal="justify" vertical="center"/>
    </xf>
    <xf numFmtId="0" fontId="8" fillId="10" borderId="18" xfId="0" applyFont="1" applyFill="1" applyBorder="1"/>
    <xf numFmtId="0" fontId="8" fillId="0" borderId="18" xfId="0" applyFont="1" applyBorder="1" applyAlignment="1">
      <alignment horizontal="center" vertical="center"/>
    </xf>
    <xf numFmtId="0" fontId="7" fillId="6" borderId="0" xfId="0" applyFont="1" applyFill="1" applyBorder="1" applyAlignment="1">
      <alignment vertical="center"/>
    </xf>
    <xf numFmtId="0" fontId="8" fillId="10" borderId="9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left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left" vertical="center" wrapText="1"/>
    </xf>
    <xf numFmtId="0" fontId="10" fillId="0" borderId="8" xfId="0" applyFont="1" applyFill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justify" vertical="center" wrapText="1"/>
    </xf>
    <xf numFmtId="0" fontId="8" fillId="0" borderId="14" xfId="0" applyFont="1" applyFill="1" applyBorder="1" applyAlignment="1">
      <alignment horizontal="center" vertical="center"/>
    </xf>
    <xf numFmtId="0" fontId="8" fillId="11" borderId="0" xfId="0" applyFont="1" applyFill="1" applyAlignment="1">
      <alignment horizontal="center" vertical="center"/>
    </xf>
    <xf numFmtId="0" fontId="5" fillId="4" borderId="10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0" fontId="6" fillId="5" borderId="10" xfId="0" applyFont="1" applyFill="1" applyBorder="1" applyAlignment="1">
      <alignment horizontal="center" vertical="center"/>
    </xf>
    <xf numFmtId="0" fontId="7" fillId="6" borderId="21" xfId="0" applyFont="1" applyFill="1" applyBorder="1" applyAlignment="1">
      <alignment horizontal="center" vertical="center"/>
    </xf>
    <xf numFmtId="0" fontId="8" fillId="0" borderId="18" xfId="0" applyFont="1" applyBorder="1" applyAlignment="1">
      <alignment horizontal="center"/>
    </xf>
    <xf numFmtId="0" fontId="7" fillId="6" borderId="0" xfId="0" applyFont="1" applyFill="1" applyBorder="1" applyAlignment="1">
      <alignment horizontal="center" vertical="center"/>
    </xf>
    <xf numFmtId="0" fontId="7" fillId="6" borderId="3" xfId="0" applyFont="1" applyFill="1" applyBorder="1" applyAlignment="1">
      <alignment horizontal="center" vertical="center"/>
    </xf>
    <xf numFmtId="0" fontId="7" fillId="6" borderId="10" xfId="0" applyFont="1" applyFill="1" applyBorder="1" applyAlignment="1">
      <alignment horizontal="center" vertical="center"/>
    </xf>
    <xf numFmtId="0" fontId="5" fillId="9" borderId="10" xfId="0" applyFont="1" applyFill="1" applyBorder="1" applyAlignment="1">
      <alignment horizontal="center" vertical="center"/>
    </xf>
    <xf numFmtId="0" fontId="8" fillId="10" borderId="5" xfId="0" applyFont="1" applyFill="1" applyBorder="1" applyAlignment="1">
      <alignment vertical="center"/>
    </xf>
    <xf numFmtId="0" fontId="5" fillId="4" borderId="10" xfId="0" applyFont="1" applyFill="1" applyBorder="1" applyAlignment="1">
      <alignment horizontal="left" vertical="center"/>
    </xf>
    <xf numFmtId="0" fontId="6" fillId="7" borderId="10" xfId="0" applyFont="1" applyFill="1" applyBorder="1" applyAlignment="1">
      <alignment horizontal="left" vertical="center"/>
    </xf>
    <xf numFmtId="0" fontId="6" fillId="5" borderId="10" xfId="0" applyFont="1" applyFill="1" applyBorder="1" applyAlignment="1">
      <alignment horizontal="left" vertical="center"/>
    </xf>
    <xf numFmtId="0" fontId="7" fillId="6" borderId="21" xfId="0" applyFont="1" applyFill="1" applyBorder="1" applyAlignment="1">
      <alignment horizontal="left" vertical="center"/>
    </xf>
    <xf numFmtId="0" fontId="8" fillId="0" borderId="18" xfId="0" applyFont="1" applyBorder="1" applyAlignment="1">
      <alignment horizontal="left" vertical="center"/>
    </xf>
    <xf numFmtId="0" fontId="7" fillId="6" borderId="0" xfId="0" applyFont="1" applyFill="1" applyBorder="1" applyAlignment="1">
      <alignment horizontal="left" vertical="center"/>
    </xf>
    <xf numFmtId="0" fontId="8" fillId="10" borderId="0" xfId="0" applyFont="1" applyFill="1" applyBorder="1" applyAlignment="1">
      <alignment horizontal="left" vertical="center"/>
    </xf>
    <xf numFmtId="0" fontId="8" fillId="0" borderId="18" xfId="0" applyFont="1" applyFill="1" applyBorder="1" applyAlignment="1">
      <alignment horizontal="left" vertical="center"/>
    </xf>
    <xf numFmtId="0" fontId="7" fillId="6" borderId="3" xfId="0" applyFont="1" applyFill="1" applyBorder="1" applyAlignment="1">
      <alignment horizontal="left" vertical="center"/>
    </xf>
    <xf numFmtId="0" fontId="8" fillId="0" borderId="11" xfId="0" applyFont="1" applyBorder="1" applyAlignment="1">
      <alignment horizontal="left" vertical="center" wrapText="1"/>
    </xf>
    <xf numFmtId="0" fontId="8" fillId="0" borderId="16" xfId="0" applyFont="1" applyBorder="1" applyAlignment="1">
      <alignment horizontal="left" vertical="center" wrapText="1"/>
    </xf>
    <xf numFmtId="0" fontId="8" fillId="0" borderId="18" xfId="0" applyFont="1" applyBorder="1" applyAlignment="1">
      <alignment horizontal="left" vertical="center" wrapText="1"/>
    </xf>
    <xf numFmtId="0" fontId="10" fillId="0" borderId="18" xfId="0" applyFont="1" applyFill="1" applyBorder="1" applyAlignment="1">
      <alignment horizontal="left" vertical="center"/>
    </xf>
    <xf numFmtId="0" fontId="7" fillId="6" borderId="10" xfId="0" applyFont="1" applyFill="1" applyBorder="1" applyAlignment="1">
      <alignment horizontal="left" vertical="center"/>
    </xf>
    <xf numFmtId="0" fontId="5" fillId="9" borderId="10" xfId="0" applyFont="1" applyFill="1" applyBorder="1" applyAlignment="1">
      <alignment horizontal="left" vertical="center"/>
    </xf>
    <xf numFmtId="0" fontId="10" fillId="0" borderId="5" xfId="0" quotePrefix="1" applyFont="1" applyFill="1" applyBorder="1" applyAlignment="1">
      <alignment horizontal="left" vertical="center" wrapText="1"/>
    </xf>
    <xf numFmtId="0" fontId="10" fillId="0" borderId="5" xfId="0" quotePrefix="1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/>
    </xf>
    <xf numFmtId="0" fontId="10" fillId="0" borderId="18" xfId="0" applyFont="1" applyFill="1" applyBorder="1" applyAlignment="1">
      <alignment horizontal="left" vertical="center" wrapText="1"/>
    </xf>
    <xf numFmtId="0" fontId="10" fillId="0" borderId="18" xfId="0" applyFont="1" applyFill="1" applyBorder="1" applyAlignment="1">
      <alignment horizontal="center" vertical="center" wrapText="1"/>
    </xf>
    <xf numFmtId="0" fontId="8" fillId="0" borderId="18" xfId="0" applyFont="1" applyBorder="1" applyAlignment="1">
      <alignment wrapText="1"/>
    </xf>
    <xf numFmtId="11" fontId="8" fillId="0" borderId="5" xfId="0" applyNumberFormat="1" applyFont="1" applyFill="1" applyBorder="1" applyAlignment="1">
      <alignment horizontal="center" vertical="center" wrapText="1"/>
    </xf>
    <xf numFmtId="2" fontId="8" fillId="0" borderId="5" xfId="0" applyNumberFormat="1" applyFont="1" applyFill="1" applyBorder="1" applyAlignment="1">
      <alignment horizontal="center" vertical="center" wrapText="1"/>
    </xf>
    <xf numFmtId="0" fontId="0" fillId="2" borderId="18" xfId="0" applyFill="1" applyBorder="1"/>
    <xf numFmtId="11" fontId="8" fillId="0" borderId="4" xfId="0" applyNumberFormat="1" applyFont="1" applyFill="1" applyBorder="1" applyAlignment="1">
      <alignment horizontal="center" vertical="center" wrapText="1"/>
    </xf>
    <xf numFmtId="11" fontId="8" fillId="0" borderId="12" xfId="0" applyNumberFormat="1" applyFont="1" applyFill="1" applyBorder="1" applyAlignment="1">
      <alignment horizontal="center" vertical="center" wrapText="1"/>
    </xf>
    <xf numFmtId="11" fontId="8" fillId="0" borderId="9" xfId="0" applyNumberFormat="1" applyFont="1" applyFill="1" applyBorder="1" applyAlignment="1">
      <alignment horizontal="center" vertical="center" wrapText="1"/>
    </xf>
    <xf numFmtId="11" fontId="8" fillId="0" borderId="6" xfId="0" applyNumberFormat="1" applyFont="1" applyFill="1" applyBorder="1" applyAlignment="1">
      <alignment horizontal="center" vertical="center" wrapText="1"/>
    </xf>
    <xf numFmtId="11" fontId="8" fillId="0" borderId="20" xfId="0" applyNumberFormat="1" applyFont="1" applyFill="1" applyBorder="1" applyAlignment="1">
      <alignment horizontal="center" vertical="center" wrapText="1"/>
    </xf>
    <xf numFmtId="0" fontId="8" fillId="2" borderId="18" xfId="0" applyFont="1" applyFill="1" applyBorder="1"/>
    <xf numFmtId="11" fontId="8" fillId="2" borderId="0" xfId="0" applyNumberFormat="1" applyFont="1" applyFill="1" applyAlignment="1">
      <alignment horizontal="center" vertical="center"/>
    </xf>
    <xf numFmtId="0" fontId="8" fillId="2" borderId="18" xfId="0" applyFont="1" applyFill="1" applyBorder="1" applyAlignment="1">
      <alignment horizontal="center" vertical="center"/>
    </xf>
    <xf numFmtId="0" fontId="6" fillId="7" borderId="21" xfId="0" applyFont="1" applyFill="1" applyBorder="1" applyAlignment="1">
      <alignment vertical="center"/>
    </xf>
    <xf numFmtId="0" fontId="6" fillId="7" borderId="21" xfId="0" applyFont="1" applyFill="1" applyBorder="1" applyAlignment="1">
      <alignment horizontal="center" vertical="center"/>
    </xf>
    <xf numFmtId="0" fontId="8" fillId="0" borderId="18" xfId="0" applyFont="1" applyBorder="1" applyAlignment="1">
      <alignment horizontal="left"/>
    </xf>
    <xf numFmtId="0" fontId="8" fillId="10" borderId="18" xfId="0" applyFont="1" applyFill="1" applyBorder="1" applyAlignment="1">
      <alignment horizontal="left"/>
    </xf>
    <xf numFmtId="0" fontId="8" fillId="10" borderId="18" xfId="0" applyFont="1" applyFill="1" applyBorder="1" applyAlignment="1">
      <alignment horizontal="center"/>
    </xf>
    <xf numFmtId="0" fontId="10" fillId="10" borderId="0" xfId="0" applyFont="1" applyFill="1" applyBorder="1"/>
    <xf numFmtId="0" fontId="8" fillId="10" borderId="11" xfId="0" applyFont="1" applyFill="1" applyBorder="1" applyAlignment="1">
      <alignment horizontal="left" vertical="center" wrapText="1"/>
    </xf>
    <xf numFmtId="0" fontId="8" fillId="0" borderId="11" xfId="0" applyFont="1" applyFill="1" applyBorder="1" applyAlignment="1">
      <alignment horizontal="left" vertical="center"/>
    </xf>
    <xf numFmtId="0" fontId="8" fillId="2" borderId="23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 wrapText="1"/>
    </xf>
    <xf numFmtId="0" fontId="8" fillId="0" borderId="0" xfId="1" applyFont="1"/>
    <xf numFmtId="0" fontId="9" fillId="0" borderId="0" xfId="1" applyFill="1"/>
    <xf numFmtId="0" fontId="8" fillId="2" borderId="18" xfId="1" applyFont="1" applyFill="1" applyBorder="1" applyAlignment="1">
      <alignment vertical="center"/>
    </xf>
    <xf numFmtId="0" fontId="8" fillId="0" borderId="18" xfId="1" applyFont="1" applyBorder="1" applyAlignment="1">
      <alignment vertical="center"/>
    </xf>
    <xf numFmtId="0" fontId="8" fillId="0" borderId="18" xfId="1" applyFont="1" applyBorder="1"/>
    <xf numFmtId="0" fontId="12" fillId="2" borderId="18" xfId="1" applyFont="1" applyFill="1" applyBorder="1" applyAlignment="1">
      <alignment vertical="center"/>
    </xf>
    <xf numFmtId="0" fontId="12" fillId="0" borderId="18" xfId="1" applyFont="1" applyBorder="1" applyAlignment="1">
      <alignment vertical="center"/>
    </xf>
    <xf numFmtId="0" fontId="12" fillId="0" borderId="18" xfId="1" applyFont="1" applyBorder="1"/>
    <xf numFmtId="0" fontId="12" fillId="0" borderId="18" xfId="0" applyFont="1" applyFill="1" applyBorder="1" applyAlignment="1">
      <alignment horizontal="center" vertical="center" wrapText="1"/>
    </xf>
    <xf numFmtId="0" fontId="7" fillId="8" borderId="0" xfId="1" applyFont="1" applyFill="1"/>
    <xf numFmtId="0" fontId="8" fillId="8" borderId="0" xfId="1" applyFont="1" applyFill="1"/>
    <xf numFmtId="0" fontId="5" fillId="3" borderId="17" xfId="1" applyFont="1" applyFill="1" applyBorder="1" applyAlignment="1">
      <alignment horizontal="center" vertical="center" wrapText="1"/>
    </xf>
    <xf numFmtId="0" fontId="5" fillId="3" borderId="17" xfId="1" applyFont="1" applyFill="1" applyBorder="1" applyAlignment="1">
      <alignment horizontal="center" vertical="center"/>
    </xf>
    <xf numFmtId="0" fontId="7" fillId="11" borderId="0" xfId="0" applyFont="1" applyFill="1" applyAlignment="1">
      <alignment horizontal="center" vertical="center"/>
    </xf>
    <xf numFmtId="0" fontId="8" fillId="0" borderId="18" xfId="1" applyFont="1" applyBorder="1" applyAlignment="1">
      <alignment horizontal="center" vertical="center"/>
    </xf>
    <xf numFmtId="0" fontId="12" fillId="0" borderId="18" xfId="1" applyFont="1" applyBorder="1" applyAlignment="1">
      <alignment horizontal="center" vertical="center"/>
    </xf>
    <xf numFmtId="0" fontId="8" fillId="8" borderId="0" xfId="1" applyFont="1" applyFill="1" applyAlignment="1">
      <alignment horizontal="center"/>
    </xf>
    <xf numFmtId="0" fontId="8" fillId="0" borderId="0" xfId="1" applyFont="1" applyAlignment="1">
      <alignment horizontal="center"/>
    </xf>
    <xf numFmtId="0" fontId="8" fillId="2" borderId="0" xfId="1" applyFont="1" applyFill="1"/>
    <xf numFmtId="0" fontId="8" fillId="2" borderId="0" xfId="1" applyFont="1" applyFill="1" applyAlignment="1">
      <alignment horizontal="center"/>
    </xf>
    <xf numFmtId="0" fontId="3" fillId="2" borderId="0" xfId="0" applyFont="1" applyFill="1" applyAlignment="1">
      <alignment vertical="center" wrapText="1"/>
    </xf>
    <xf numFmtId="0" fontId="3" fillId="0" borderId="0" xfId="0" applyFont="1" applyFill="1" applyAlignment="1">
      <alignment vertical="center" wrapText="1"/>
    </xf>
    <xf numFmtId="0" fontId="8" fillId="0" borderId="0" xfId="0" applyFont="1" applyFill="1" applyAlignment="1">
      <alignment vertical="center" wrapText="1"/>
    </xf>
    <xf numFmtId="0" fontId="9" fillId="2" borderId="0" xfId="1" applyFill="1"/>
    <xf numFmtId="0" fontId="8" fillId="2" borderId="0" xfId="0" applyFont="1" applyFill="1" applyAlignment="1">
      <alignment vertical="center" wrapText="1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 vertical="center"/>
    </xf>
    <xf numFmtId="165" fontId="0" fillId="0" borderId="0" xfId="0" applyNumberFormat="1"/>
    <xf numFmtId="0" fontId="11" fillId="0" borderId="18" xfId="0" applyFont="1" applyFill="1" applyBorder="1" applyAlignment="1">
      <alignment horizontal="justify" vertical="center" wrapText="1"/>
    </xf>
    <xf numFmtId="0" fontId="11" fillId="0" borderId="18" xfId="0" applyFont="1" applyFill="1" applyBorder="1" applyAlignment="1">
      <alignment horizontal="center" vertical="center"/>
    </xf>
    <xf numFmtId="0" fontId="11" fillId="10" borderId="18" xfId="0" applyFont="1" applyFill="1" applyBorder="1" applyAlignment="1">
      <alignment horizontal="justify" vertical="center" wrapText="1"/>
    </xf>
    <xf numFmtId="0" fontId="11" fillId="10" borderId="18" xfId="0" applyFont="1" applyFill="1" applyBorder="1" applyAlignment="1">
      <alignment horizontal="center" vertical="center"/>
    </xf>
    <xf numFmtId="0" fontId="11" fillId="10" borderId="5" xfId="0" applyFont="1" applyFill="1" applyBorder="1" applyAlignment="1">
      <alignment horizontal="left" vertical="center" wrapText="1"/>
    </xf>
    <xf numFmtId="0" fontId="11" fillId="10" borderId="5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 wrapText="1"/>
    </xf>
    <xf numFmtId="0" fontId="14" fillId="0" borderId="11" xfId="0" applyFont="1" applyFill="1" applyBorder="1" applyAlignment="1">
      <alignment horizontal="left" vertical="center" wrapText="1"/>
    </xf>
    <xf numFmtId="0" fontId="14" fillId="0" borderId="5" xfId="0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center" vertical="center" wrapText="1"/>
    </xf>
    <xf numFmtId="0" fontId="14" fillId="0" borderId="18" xfId="0" applyFont="1" applyFill="1" applyBorder="1" applyAlignment="1">
      <alignment horizontal="left" vertical="center" wrapText="1"/>
    </xf>
    <xf numFmtId="0" fontId="14" fillId="0" borderId="18" xfId="0" applyFont="1" applyFill="1" applyBorder="1" applyAlignment="1">
      <alignment horizontal="center" vertical="center" wrapText="1"/>
    </xf>
    <xf numFmtId="0" fontId="15" fillId="0" borderId="18" xfId="0" applyFont="1" applyFill="1" applyBorder="1" applyAlignment="1">
      <alignment horizontal="left" vertical="center" wrapText="1"/>
    </xf>
    <xf numFmtId="0" fontId="14" fillId="0" borderId="18" xfId="0" applyFont="1" applyBorder="1" applyAlignment="1">
      <alignment horizontal="center"/>
    </xf>
    <xf numFmtId="0" fontId="14" fillId="0" borderId="18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 wrapText="1"/>
    </xf>
    <xf numFmtId="0" fontId="8" fillId="0" borderId="18" xfId="0" applyFont="1" applyBorder="1" applyAlignment="1">
      <alignment vertical="center"/>
    </xf>
    <xf numFmtId="0" fontId="8" fillId="0" borderId="18" xfId="0" applyFont="1" applyBorder="1" applyAlignment="1">
      <alignment vertical="center" wrapText="1"/>
    </xf>
    <xf numFmtId="0" fontId="11" fillId="0" borderId="5" xfId="0" quotePrefix="1" applyFont="1" applyFill="1" applyBorder="1" applyAlignment="1">
      <alignment horizontal="left" vertical="center" wrapText="1"/>
    </xf>
    <xf numFmtId="0" fontId="11" fillId="0" borderId="5" xfId="0" quotePrefix="1" applyFont="1" applyFill="1" applyBorder="1" applyAlignment="1">
      <alignment horizontal="center" vertical="center" wrapText="1"/>
    </xf>
    <xf numFmtId="165" fontId="8" fillId="0" borderId="9" xfId="0" applyNumberFormat="1" applyFont="1" applyFill="1" applyBorder="1" applyAlignment="1">
      <alignment horizontal="center" vertical="center" wrapText="1"/>
    </xf>
    <xf numFmtId="0" fontId="6" fillId="7" borderId="3" xfId="0" applyFont="1" applyFill="1" applyBorder="1" applyAlignment="1">
      <alignment vertical="center"/>
    </xf>
    <xf numFmtId="0" fontId="8" fillId="0" borderId="18" xfId="0" applyFont="1" applyFill="1" applyBorder="1" applyAlignment="1">
      <alignment vertical="center"/>
    </xf>
    <xf numFmtId="0" fontId="8" fillId="0" borderId="18" xfId="0" applyFont="1" applyFill="1" applyBorder="1" applyAlignment="1">
      <alignment horizontal="center"/>
    </xf>
    <xf numFmtId="0" fontId="8" fillId="0" borderId="18" xfId="0" applyFont="1" applyBorder="1" applyAlignment="1">
      <alignment horizontal="center" vertical="center" wrapText="1"/>
    </xf>
    <xf numFmtId="0" fontId="5" fillId="4" borderId="20" xfId="0" applyFont="1" applyFill="1" applyBorder="1" applyAlignment="1">
      <alignment vertical="center"/>
    </xf>
    <xf numFmtId="0" fontId="8" fillId="4" borderId="14" xfId="0" applyFont="1" applyFill="1" applyBorder="1" applyAlignment="1">
      <alignment horizontal="justify" vertical="center" wrapText="1"/>
    </xf>
    <xf numFmtId="0" fontId="8" fillId="4" borderId="14" xfId="0" applyFont="1" applyFill="1" applyBorder="1" applyAlignment="1">
      <alignment horizontal="center" vertical="center" wrapText="1"/>
    </xf>
    <xf numFmtId="0" fontId="6" fillId="7" borderId="18" xfId="0" applyFont="1" applyFill="1" applyBorder="1" applyAlignment="1">
      <alignment vertical="center"/>
    </xf>
    <xf numFmtId="0" fontId="8" fillId="7" borderId="18" xfId="0" applyFont="1" applyFill="1" applyBorder="1"/>
    <xf numFmtId="0" fontId="8" fillId="7" borderId="18" xfId="0" applyFont="1" applyFill="1" applyBorder="1" applyAlignment="1">
      <alignment vertical="center"/>
    </xf>
    <xf numFmtId="0" fontId="8" fillId="7" borderId="18" xfId="0" applyFont="1" applyFill="1" applyBorder="1" applyAlignment="1">
      <alignment horizontal="center" vertical="center"/>
    </xf>
    <xf numFmtId="0" fontId="5" fillId="4" borderId="18" xfId="0" applyFont="1" applyFill="1" applyBorder="1" applyAlignment="1">
      <alignment vertical="center"/>
    </xf>
    <xf numFmtId="0" fontId="5" fillId="4" borderId="18" xfId="0" applyFont="1" applyFill="1" applyBorder="1" applyAlignment="1">
      <alignment horizontal="center" vertical="center"/>
    </xf>
    <xf numFmtId="0" fontId="6" fillId="5" borderId="18" xfId="0" applyFont="1" applyFill="1" applyBorder="1" applyAlignment="1">
      <alignment vertical="center"/>
    </xf>
    <xf numFmtId="0" fontId="6" fillId="5" borderId="18" xfId="0" applyFont="1" applyFill="1" applyBorder="1" applyAlignment="1">
      <alignment horizontal="center" vertical="center"/>
    </xf>
    <xf numFmtId="0" fontId="7" fillId="6" borderId="18" xfId="0" applyFont="1" applyFill="1" applyBorder="1" applyAlignment="1">
      <alignment vertical="center"/>
    </xf>
    <xf numFmtId="0" fontId="7" fillId="6" borderId="18" xfId="0" applyFont="1" applyFill="1" applyBorder="1" applyAlignment="1">
      <alignment horizontal="center" vertical="center"/>
    </xf>
    <xf numFmtId="0" fontId="6" fillId="7" borderId="18" xfId="0" applyFont="1" applyFill="1" applyBorder="1" applyAlignment="1">
      <alignment horizontal="center" vertical="center"/>
    </xf>
    <xf numFmtId="0" fontId="8" fillId="0" borderId="18" xfId="0" quotePrefix="1" applyFont="1" applyFill="1" applyBorder="1" applyAlignment="1">
      <alignment horizontal="center" vertical="center" wrapText="1"/>
    </xf>
    <xf numFmtId="0" fontId="11" fillId="0" borderId="18" xfId="0" quotePrefix="1" applyFont="1" applyFill="1" applyBorder="1" applyAlignment="1">
      <alignment horizontal="left" vertical="center" wrapText="1"/>
    </xf>
    <xf numFmtId="0" fontId="11" fillId="0" borderId="18" xfId="0" quotePrefix="1" applyFont="1" applyFill="1" applyBorder="1" applyAlignment="1">
      <alignment horizontal="center" vertical="center" wrapText="1"/>
    </xf>
    <xf numFmtId="0" fontId="7" fillId="6" borderId="18" xfId="0" applyFont="1" applyFill="1" applyBorder="1" applyAlignment="1">
      <alignment vertical="center" wrapText="1"/>
    </xf>
    <xf numFmtId="0" fontId="8" fillId="6" borderId="18" xfId="0" applyFont="1" applyFill="1" applyBorder="1" applyAlignment="1">
      <alignment horizontal="left" vertical="center" wrapText="1"/>
    </xf>
    <xf numFmtId="0" fontId="8" fillId="6" borderId="18" xfId="0" applyFont="1" applyFill="1" applyBorder="1" applyAlignment="1">
      <alignment horizontal="left" vertical="center" wrapText="1" indent="1"/>
    </xf>
    <xf numFmtId="0" fontId="8" fillId="6" borderId="18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8" fillId="7" borderId="18" xfId="0" applyFont="1" applyFill="1" applyBorder="1" applyAlignment="1">
      <alignment horizontal="center"/>
    </xf>
    <xf numFmtId="0" fontId="3" fillId="0" borderId="0" xfId="0" applyFont="1"/>
    <xf numFmtId="1" fontId="8" fillId="0" borderId="0" xfId="0" applyNumberFormat="1" applyFont="1" applyAlignment="1">
      <alignment horizontal="center"/>
    </xf>
    <xf numFmtId="1" fontId="8" fillId="7" borderId="18" xfId="0" applyNumberFormat="1" applyFont="1" applyFill="1" applyBorder="1" applyAlignment="1">
      <alignment horizontal="center"/>
    </xf>
    <xf numFmtId="1" fontId="8" fillId="0" borderId="18" xfId="0" applyNumberFormat="1" applyFont="1" applyBorder="1" applyAlignment="1">
      <alignment horizontal="center" vertical="center"/>
    </xf>
    <xf numFmtId="1" fontId="5" fillId="4" borderId="18" xfId="0" applyNumberFormat="1" applyFont="1" applyFill="1" applyBorder="1" applyAlignment="1">
      <alignment horizontal="center" vertical="center"/>
    </xf>
    <xf numFmtId="1" fontId="6" fillId="5" borderId="18" xfId="0" applyNumberFormat="1" applyFont="1" applyFill="1" applyBorder="1" applyAlignment="1">
      <alignment horizontal="center" vertical="center"/>
    </xf>
    <xf numFmtId="1" fontId="7" fillId="6" borderId="18" xfId="0" applyNumberFormat="1" applyFont="1" applyFill="1" applyBorder="1" applyAlignment="1">
      <alignment horizontal="center" vertical="center"/>
    </xf>
    <xf numFmtId="1" fontId="8" fillId="0" borderId="18" xfId="0" applyNumberFormat="1" applyFont="1" applyFill="1" applyBorder="1" applyAlignment="1">
      <alignment horizontal="center" vertical="center"/>
    </xf>
    <xf numFmtId="1" fontId="6" fillId="7" borderId="18" xfId="0" applyNumberFormat="1" applyFont="1" applyFill="1" applyBorder="1" applyAlignment="1">
      <alignment horizontal="center" vertical="center"/>
    </xf>
    <xf numFmtId="1" fontId="7" fillId="6" borderId="18" xfId="0" applyNumberFormat="1" applyFont="1" applyFill="1" applyBorder="1" applyAlignment="1">
      <alignment vertical="center" wrapText="1"/>
    </xf>
    <xf numFmtId="1" fontId="8" fillId="6" borderId="18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0" fontId="8" fillId="7" borderId="18" xfId="0" applyFont="1" applyFill="1" applyBorder="1" applyAlignment="1">
      <alignment vertical="center" wrapText="1"/>
    </xf>
    <xf numFmtId="0" fontId="8" fillId="0" borderId="18" xfId="1" applyFont="1" applyBorder="1" applyAlignment="1">
      <alignment vertical="center" wrapText="1"/>
    </xf>
    <xf numFmtId="0" fontId="5" fillId="4" borderId="18" xfId="0" applyFont="1" applyFill="1" applyBorder="1" applyAlignment="1">
      <alignment vertical="center" wrapText="1"/>
    </xf>
    <xf numFmtId="0" fontId="6" fillId="5" borderId="18" xfId="0" applyFont="1" applyFill="1" applyBorder="1" applyAlignment="1">
      <alignment vertical="center" wrapText="1"/>
    </xf>
    <xf numFmtId="0" fontId="8" fillId="0" borderId="18" xfId="0" applyFont="1" applyFill="1" applyBorder="1" applyAlignment="1">
      <alignment vertical="center" wrapText="1"/>
    </xf>
    <xf numFmtId="0" fontId="6" fillId="7" borderId="18" xfId="0" applyFont="1" applyFill="1" applyBorder="1" applyAlignment="1">
      <alignment vertical="center" wrapText="1"/>
    </xf>
    <xf numFmtId="0" fontId="8" fillId="0" borderId="18" xfId="0" applyFont="1" applyBorder="1" applyAlignment="1">
      <alignment horizontal="left" wrapText="1"/>
    </xf>
    <xf numFmtId="0" fontId="8" fillId="0" borderId="18" xfId="0" applyFont="1" applyFill="1" applyBorder="1" applyAlignment="1">
      <alignment horizontal="left" wrapText="1"/>
    </xf>
    <xf numFmtId="0" fontId="8" fillId="0" borderId="18" xfId="0" applyFont="1" applyFill="1" applyBorder="1" applyAlignment="1">
      <alignment wrapText="1"/>
    </xf>
    <xf numFmtId="0" fontId="7" fillId="6" borderId="18" xfId="0" applyFont="1" applyFill="1" applyBorder="1" applyAlignment="1">
      <alignment horizontal="center" vertical="center" wrapText="1"/>
    </xf>
    <xf numFmtId="1" fontId="7" fillId="5" borderId="18" xfId="0" applyNumberFormat="1" applyFont="1" applyFill="1" applyBorder="1" applyAlignment="1">
      <alignment horizontal="center" vertical="center"/>
    </xf>
    <xf numFmtId="0" fontId="8" fillId="0" borderId="18" xfId="2" applyFont="1" applyBorder="1" applyAlignment="1">
      <alignment vertical="center"/>
    </xf>
    <xf numFmtId="0" fontId="8" fillId="0" borderId="18" xfId="4" applyFont="1" applyBorder="1" applyAlignment="1">
      <alignment vertical="center"/>
    </xf>
    <xf numFmtId="0" fontId="0" fillId="13" borderId="0" xfId="0" applyFill="1"/>
    <xf numFmtId="0" fontId="16" fillId="13" borderId="0" xfId="0" applyFont="1" applyFill="1"/>
    <xf numFmtId="0" fontId="7" fillId="5" borderId="0" xfId="0" applyFont="1" applyFill="1" applyAlignment="1">
      <alignment vertical="center"/>
    </xf>
    <xf numFmtId="0" fontId="5" fillId="9" borderId="27" xfId="0" applyFont="1" applyFill="1" applyBorder="1" applyAlignment="1">
      <alignment horizontal="center" vertical="center" wrapText="1"/>
    </xf>
    <xf numFmtId="0" fontId="5" fillId="9" borderId="26" xfId="0" applyFont="1" applyFill="1" applyBorder="1" applyAlignment="1">
      <alignment horizontal="center" vertical="center" wrapText="1"/>
    </xf>
    <xf numFmtId="0" fontId="8" fillId="0" borderId="26" xfId="0" applyFont="1" applyBorder="1" applyAlignment="1">
      <alignment vertical="center" wrapText="1"/>
    </xf>
    <xf numFmtId="0" fontId="0" fillId="13" borderId="0" xfId="0" applyFill="1" applyAlignment="1">
      <alignment horizontal="center"/>
    </xf>
    <xf numFmtId="0" fontId="8" fillId="5" borderId="0" xfId="0" applyFont="1" applyFill="1" applyBorder="1" applyAlignment="1">
      <alignment horizontal="center"/>
    </xf>
    <xf numFmtId="0" fontId="8" fillId="5" borderId="0" xfId="0" applyFont="1" applyFill="1" applyAlignment="1">
      <alignment horizontal="center" vertical="center"/>
    </xf>
    <xf numFmtId="0" fontId="8" fillId="5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9" fontId="0" fillId="0" borderId="0" xfId="5" applyFont="1" applyFill="1"/>
    <xf numFmtId="0" fontId="8" fillId="0" borderId="18" xfId="0" applyFont="1" applyFill="1" applyBorder="1" applyAlignment="1">
      <alignment horizontal="left" vertical="center"/>
    </xf>
    <xf numFmtId="0" fontId="11" fillId="0" borderId="18" xfId="0" applyFont="1" applyFill="1" applyBorder="1" applyAlignment="1">
      <alignment horizontal="left" vertical="center" wrapText="1"/>
    </xf>
    <xf numFmtId="0" fontId="8" fillId="0" borderId="18" xfId="0" applyFont="1" applyFill="1" applyBorder="1" applyAlignment="1">
      <alignment horizontal="left" vertical="center" wrapText="1"/>
    </xf>
    <xf numFmtId="1" fontId="8" fillId="0" borderId="18" xfId="0" applyNumberFormat="1" applyFont="1" applyBorder="1" applyAlignment="1">
      <alignment horizontal="center" vertical="center" wrapText="1"/>
    </xf>
    <xf numFmtId="1" fontId="8" fillId="4" borderId="14" xfId="0" applyNumberFormat="1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 applyFont="1" applyFill="1"/>
    <xf numFmtId="165" fontId="0" fillId="0" borderId="0" xfId="0" applyNumberFormat="1" applyFont="1" applyFill="1"/>
    <xf numFmtId="2" fontId="0" fillId="0" borderId="0" xfId="0" applyNumberFormat="1" applyFont="1" applyFill="1"/>
    <xf numFmtId="0" fontId="8" fillId="0" borderId="0" xfId="0" applyFont="1" applyAlignment="1">
      <alignment wrapText="1"/>
    </xf>
    <xf numFmtId="0" fontId="8" fillId="0" borderId="0" xfId="0" applyFont="1" applyFill="1" applyAlignment="1">
      <alignment wrapText="1"/>
    </xf>
    <xf numFmtId="0" fontId="8" fillId="0" borderId="0" xfId="0" applyFont="1" applyFill="1" applyAlignment="1">
      <alignment horizontal="center"/>
    </xf>
    <xf numFmtId="0" fontId="7" fillId="0" borderId="0" xfId="0" applyFont="1"/>
    <xf numFmtId="0" fontId="7" fillId="0" borderId="28" xfId="0" applyFont="1" applyBorder="1" applyAlignment="1">
      <alignment vertical="center"/>
    </xf>
    <xf numFmtId="9" fontId="5" fillId="9" borderId="30" xfId="5" applyFont="1" applyFill="1" applyBorder="1" applyAlignment="1">
      <alignment horizontal="center" vertical="center" wrapText="1"/>
    </xf>
    <xf numFmtId="166" fontId="17" fillId="0" borderId="31" xfId="5" applyNumberFormat="1" applyFont="1" applyBorder="1" applyAlignment="1">
      <alignment vertical="center" wrapText="1"/>
    </xf>
    <xf numFmtId="166" fontId="18" fillId="12" borderId="32" xfId="5" applyNumberFormat="1" applyFont="1" applyFill="1" applyBorder="1" applyAlignment="1">
      <alignment horizontal="center" vertical="center" wrapText="1"/>
    </xf>
    <xf numFmtId="9" fontId="18" fillId="12" borderId="33" xfId="5" applyNumberFormat="1" applyFont="1" applyFill="1" applyBorder="1" applyAlignment="1">
      <alignment horizontal="center" vertical="center" wrapText="1"/>
    </xf>
    <xf numFmtId="166" fontId="18" fillId="0" borderId="32" xfId="5" applyNumberFormat="1" applyFont="1" applyFill="1" applyBorder="1" applyAlignment="1">
      <alignment horizontal="center" vertical="center" wrapText="1"/>
    </xf>
    <xf numFmtId="166" fontId="18" fillId="0" borderId="29" xfId="5" applyNumberFormat="1" applyFont="1" applyFill="1" applyBorder="1" applyAlignment="1">
      <alignment horizontal="center" vertical="center" wrapText="1"/>
    </xf>
    <xf numFmtId="166" fontId="18" fillId="0" borderId="32" xfId="5" applyNumberFormat="1" applyFont="1" applyBorder="1" applyAlignment="1">
      <alignment vertical="center" wrapText="1"/>
    </xf>
    <xf numFmtId="166" fontId="18" fillId="0" borderId="33" xfId="5" applyNumberFormat="1" applyFont="1" applyBorder="1" applyAlignment="1">
      <alignment vertical="center" wrapText="1"/>
    </xf>
    <xf numFmtId="166" fontId="17" fillId="0" borderId="31" xfId="5" applyNumberFormat="1" applyFont="1" applyBorder="1" applyAlignment="1">
      <alignment vertical="center"/>
    </xf>
    <xf numFmtId="166" fontId="17" fillId="0" borderId="38" xfId="5" applyNumberFormat="1" applyFont="1" applyBorder="1" applyAlignment="1">
      <alignment vertical="center" wrapText="1"/>
    </xf>
    <xf numFmtId="166" fontId="17" fillId="0" borderId="32" xfId="5" applyNumberFormat="1" applyFont="1" applyBorder="1" applyAlignment="1">
      <alignment vertical="center" wrapText="1"/>
    </xf>
    <xf numFmtId="166" fontId="17" fillId="0" borderId="33" xfId="5" applyNumberFormat="1" applyFont="1" applyBorder="1" applyAlignment="1">
      <alignment vertical="center" wrapText="1"/>
    </xf>
    <xf numFmtId="166" fontId="17" fillId="0" borderId="34" xfId="5" applyNumberFormat="1" applyFont="1" applyBorder="1" applyAlignment="1">
      <alignment vertical="center" wrapText="1"/>
    </xf>
    <xf numFmtId="166" fontId="17" fillId="0" borderId="32" xfId="5" applyNumberFormat="1" applyFont="1" applyBorder="1" applyAlignment="1">
      <alignment vertical="center"/>
    </xf>
    <xf numFmtId="166" fontId="17" fillId="0" borderId="33" xfId="5" applyNumberFormat="1" applyFont="1" applyBorder="1" applyAlignment="1">
      <alignment vertical="center"/>
    </xf>
    <xf numFmtId="0" fontId="7" fillId="0" borderId="28" xfId="0" applyFont="1" applyBorder="1" applyAlignment="1">
      <alignment horizontal="center" vertical="center"/>
    </xf>
    <xf numFmtId="9" fontId="18" fillId="12" borderId="29" xfId="5" applyNumberFormat="1" applyFont="1" applyFill="1" applyBorder="1" applyAlignment="1">
      <alignment horizontal="center" vertical="center" wrapText="1"/>
    </xf>
    <xf numFmtId="0" fontId="0" fillId="12" borderId="0" xfId="0" applyFont="1" applyFill="1"/>
    <xf numFmtId="0" fontId="16" fillId="12" borderId="0" xfId="0" applyFont="1" applyFill="1"/>
    <xf numFmtId="0" fontId="16" fillId="0" borderId="0" xfId="0" applyFont="1" applyFill="1"/>
    <xf numFmtId="0" fontId="8" fillId="13" borderId="0" xfId="0" applyFont="1" applyFill="1"/>
    <xf numFmtId="0" fontId="7" fillId="13" borderId="0" xfId="0" applyFont="1" applyFill="1"/>
    <xf numFmtId="0" fontId="19" fillId="13" borderId="0" xfId="0" applyFont="1" applyFill="1"/>
    <xf numFmtId="165" fontId="0" fillId="0" borderId="0" xfId="0" applyNumberFormat="1" applyFont="1" applyFill="1" applyAlignment="1">
      <alignment horizontal="center"/>
    </xf>
    <xf numFmtId="2" fontId="0" fillId="0" borderId="0" xfId="0" applyNumberFormat="1" applyFont="1" applyFill="1" applyAlignment="1">
      <alignment horizontal="center"/>
    </xf>
    <xf numFmtId="0" fontId="0" fillId="12" borderId="0" xfId="0" applyFont="1" applyFill="1" applyAlignment="1">
      <alignment horizontal="center"/>
    </xf>
    <xf numFmtId="165" fontId="0" fillId="12" borderId="0" xfId="0" applyNumberFormat="1" applyFont="1" applyFill="1" applyAlignment="1">
      <alignment horizontal="center"/>
    </xf>
    <xf numFmtId="0" fontId="0" fillId="0" borderId="0" xfId="0" applyFont="1" applyFill="1" applyAlignment="1">
      <alignment horizontal="center"/>
    </xf>
    <xf numFmtId="165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0" fontId="20" fillId="9" borderId="28" xfId="0" applyFont="1" applyFill="1" applyBorder="1" applyAlignment="1">
      <alignment horizontal="center"/>
    </xf>
    <xf numFmtId="2" fontId="20" fillId="9" borderId="28" xfId="0" applyNumberFormat="1" applyFont="1" applyFill="1" applyBorder="1" applyAlignment="1">
      <alignment horizontal="center"/>
    </xf>
    <xf numFmtId="9" fontId="20" fillId="9" borderId="28" xfId="5" applyFont="1" applyFill="1" applyBorder="1" applyAlignment="1">
      <alignment horizontal="center"/>
    </xf>
    <xf numFmtId="9" fontId="20" fillId="9" borderId="28" xfId="5" applyFont="1" applyFill="1" applyBorder="1" applyAlignment="1">
      <alignment horizontal="center" vertical="center" wrapText="1"/>
    </xf>
    <xf numFmtId="0" fontId="21" fillId="9" borderId="28" xfId="0" applyFont="1" applyFill="1" applyBorder="1"/>
    <xf numFmtId="0" fontId="0" fillId="0" borderId="28" xfId="0" applyFont="1" applyBorder="1" applyAlignment="1">
      <alignment vertical="center"/>
    </xf>
    <xf numFmtId="9" fontId="0" fillId="0" borderId="28" xfId="5" applyNumberFormat="1" applyFont="1" applyFill="1" applyBorder="1" applyAlignment="1">
      <alignment horizontal="center" vertical="center"/>
    </xf>
    <xf numFmtId="9" fontId="0" fillId="12" borderId="28" xfId="5" applyNumberFormat="1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165" fontId="0" fillId="0" borderId="0" xfId="0" applyNumberFormat="1" applyFont="1" applyAlignment="1">
      <alignment horizontal="center" vertical="center"/>
    </xf>
    <xf numFmtId="165" fontId="0" fillId="0" borderId="0" xfId="0" applyNumberFormat="1" applyFont="1" applyFill="1" applyAlignment="1">
      <alignment horizontal="center" vertical="center"/>
    </xf>
    <xf numFmtId="2" fontId="0" fillId="0" borderId="0" xfId="0" applyNumberFormat="1" applyFont="1" applyFill="1" applyAlignment="1">
      <alignment horizontal="center" vertical="center"/>
    </xf>
    <xf numFmtId="11" fontId="0" fillId="0" borderId="28" xfId="0" applyNumberFormat="1" applyFont="1" applyBorder="1" applyAlignment="1">
      <alignment vertical="center"/>
    </xf>
    <xf numFmtId="0" fontId="7" fillId="5" borderId="0" xfId="0" applyFont="1" applyFill="1" applyBorder="1" applyAlignment="1">
      <alignment vertical="center"/>
    </xf>
    <xf numFmtId="0" fontId="19" fillId="13" borderId="0" xfId="0" applyFont="1" applyFill="1" applyAlignment="1">
      <alignment vertical="center"/>
    </xf>
    <xf numFmtId="0" fontId="5" fillId="9" borderId="28" xfId="0" applyFont="1" applyFill="1" applyBorder="1" applyAlignment="1">
      <alignment horizontal="center" vertical="center"/>
    </xf>
    <xf numFmtId="167" fontId="8" fillId="0" borderId="28" xfId="0" applyNumberFormat="1" applyFont="1" applyBorder="1" applyAlignment="1">
      <alignment horizontal="center" vertical="center"/>
    </xf>
    <xf numFmtId="0" fontId="8" fillId="0" borderId="28" xfId="0" applyFont="1" applyBorder="1" applyAlignment="1">
      <alignment vertical="center"/>
    </xf>
    <xf numFmtId="0" fontId="8" fillId="0" borderId="28" xfId="0" applyFont="1" applyBorder="1" applyAlignment="1">
      <alignment horizontal="left" vertical="center" wrapText="1"/>
    </xf>
    <xf numFmtId="167" fontId="7" fillId="0" borderId="28" xfId="0" applyNumberFormat="1" applyFont="1" applyBorder="1" applyAlignment="1">
      <alignment horizontal="center" vertical="center"/>
    </xf>
    <xf numFmtId="0" fontId="8" fillId="0" borderId="28" xfId="0" applyFont="1" applyBorder="1" applyAlignment="1">
      <alignment horizontal="left" vertical="center" indent="1"/>
    </xf>
    <xf numFmtId="0" fontId="0" fillId="12" borderId="28" xfId="0" applyFont="1" applyFill="1" applyBorder="1" applyAlignment="1">
      <alignment vertical="center"/>
    </xf>
    <xf numFmtId="9" fontId="8" fillId="12" borderId="26" xfId="5" applyFont="1" applyFill="1" applyBorder="1" applyAlignment="1">
      <alignment horizontal="center" vertical="center" wrapText="1"/>
    </xf>
    <xf numFmtId="9" fontId="8" fillId="14" borderId="26" xfId="5" applyFont="1" applyFill="1" applyBorder="1" applyAlignment="1">
      <alignment horizontal="center" vertical="center" wrapText="1"/>
    </xf>
    <xf numFmtId="0" fontId="22" fillId="0" borderId="18" xfId="0" applyFont="1" applyBorder="1"/>
    <xf numFmtId="0" fontId="22" fillId="0" borderId="18" xfId="0" applyFont="1" applyFill="1" applyBorder="1" applyAlignment="1">
      <alignment horizontal="center" vertical="center"/>
    </xf>
    <xf numFmtId="0" fontId="22" fillId="0" borderId="0" xfId="0" applyFont="1" applyBorder="1"/>
    <xf numFmtId="2" fontId="22" fillId="0" borderId="5" xfId="0" applyNumberFormat="1" applyFont="1" applyFill="1" applyBorder="1" applyAlignment="1">
      <alignment horizontal="center" vertical="center" wrapText="1"/>
    </xf>
    <xf numFmtId="2" fontId="22" fillId="0" borderId="9" xfId="0" applyNumberFormat="1" applyFont="1" applyFill="1" applyBorder="1" applyAlignment="1">
      <alignment horizontal="center" vertical="center" wrapText="1"/>
    </xf>
    <xf numFmtId="2" fontId="8" fillId="0" borderId="9" xfId="0" applyNumberFormat="1" applyFont="1" applyFill="1" applyBorder="1" applyAlignment="1">
      <alignment horizontal="center" vertical="center" wrapText="1"/>
    </xf>
    <xf numFmtId="0" fontId="5" fillId="4" borderId="45" xfId="0" applyFont="1" applyFill="1" applyBorder="1" applyAlignment="1">
      <alignment horizontal="left" vertical="center"/>
    </xf>
    <xf numFmtId="0" fontId="5" fillId="4" borderId="46" xfId="0" applyFont="1" applyFill="1" applyBorder="1" applyAlignment="1">
      <alignment horizontal="center" vertical="center"/>
    </xf>
    <xf numFmtId="0" fontId="5" fillId="4" borderId="47" xfId="0" applyFont="1" applyFill="1" applyBorder="1" applyAlignment="1">
      <alignment vertical="center"/>
    </xf>
    <xf numFmtId="0" fontId="11" fillId="2" borderId="48" xfId="0" applyFont="1" applyFill="1" applyBorder="1" applyAlignment="1">
      <alignment horizontal="left" vertical="center"/>
    </xf>
    <xf numFmtId="2" fontId="8" fillId="2" borderId="0" xfId="0" applyNumberFormat="1" applyFont="1" applyFill="1" applyBorder="1" applyAlignment="1">
      <alignment horizontal="center" vertical="center"/>
    </xf>
    <xf numFmtId="0" fontId="11" fillId="2" borderId="49" xfId="0" applyFont="1" applyFill="1" applyBorder="1" applyAlignment="1">
      <alignment vertical="center"/>
    </xf>
    <xf numFmtId="0" fontId="8" fillId="2" borderId="0" xfId="0" applyFont="1" applyFill="1" applyBorder="1" applyAlignment="1">
      <alignment horizontal="center" vertical="center"/>
    </xf>
    <xf numFmtId="0" fontId="0" fillId="2" borderId="52" xfId="0" applyFill="1" applyBorder="1"/>
    <xf numFmtId="9" fontId="8" fillId="0" borderId="26" xfId="5" applyFont="1" applyFill="1" applyBorder="1" applyAlignment="1">
      <alignment horizontal="center" vertical="center" wrapText="1"/>
    </xf>
    <xf numFmtId="0" fontId="19" fillId="13" borderId="0" xfId="0" applyFont="1" applyFill="1" applyAlignment="1"/>
    <xf numFmtId="9" fontId="0" fillId="0" borderId="0" xfId="5" applyFont="1"/>
    <xf numFmtId="0" fontId="6" fillId="2" borderId="50" xfId="0" applyFont="1" applyFill="1" applyBorder="1" applyAlignment="1">
      <alignment horizontal="left" vertical="center"/>
    </xf>
    <xf numFmtId="165" fontId="6" fillId="2" borderId="37" xfId="0" applyNumberFormat="1" applyFont="1" applyFill="1" applyBorder="1" applyAlignment="1">
      <alignment horizontal="center" vertical="center"/>
    </xf>
    <xf numFmtId="0" fontId="6" fillId="2" borderId="51" xfId="0" applyFont="1" applyFill="1" applyBorder="1" applyAlignment="1">
      <alignment vertical="center"/>
    </xf>
    <xf numFmtId="9" fontId="20" fillId="9" borderId="28" xfId="5" applyFont="1" applyFill="1" applyBorder="1" applyAlignment="1">
      <alignment horizontal="center" vertical="center" wrapText="1"/>
    </xf>
    <xf numFmtId="0" fontId="0" fillId="0" borderId="28" xfId="0" applyFont="1" applyFill="1" applyBorder="1" applyAlignment="1">
      <alignment vertical="center"/>
    </xf>
    <xf numFmtId="11" fontId="0" fillId="0" borderId="0" xfId="0" applyNumberFormat="1"/>
    <xf numFmtId="0" fontId="3" fillId="5" borderId="0" xfId="0" applyFont="1" applyFill="1"/>
    <xf numFmtId="11" fontId="3" fillId="5" borderId="0" xfId="0" applyNumberFormat="1" applyFont="1" applyFill="1"/>
    <xf numFmtId="9" fontId="20" fillId="9" borderId="28" xfId="5" applyFont="1" applyFill="1" applyBorder="1" applyAlignment="1">
      <alignment vertical="center" wrapText="1"/>
    </xf>
    <xf numFmtId="0" fontId="20" fillId="9" borderId="28" xfId="0" applyFont="1" applyFill="1" applyBorder="1" applyAlignment="1">
      <alignment horizontal="center" vertical="center"/>
    </xf>
    <xf numFmtId="2" fontId="20" fillId="9" borderId="28" xfId="0" applyNumberFormat="1" applyFont="1" applyFill="1" applyBorder="1" applyAlignment="1">
      <alignment horizontal="center" vertical="center"/>
    </xf>
    <xf numFmtId="9" fontId="20" fillId="9" borderId="28" xfId="5" applyFont="1" applyFill="1" applyBorder="1" applyAlignment="1">
      <alignment horizontal="center" vertical="center"/>
    </xf>
    <xf numFmtId="11" fontId="0" fillId="0" borderId="0" xfId="5" applyNumberFormat="1" applyFont="1"/>
    <xf numFmtId="9" fontId="3" fillId="5" borderId="0" xfId="5" applyFont="1" applyFill="1"/>
    <xf numFmtId="11" fontId="3" fillId="5" borderId="0" xfId="5" applyNumberFormat="1" applyFont="1" applyFill="1"/>
    <xf numFmtId="9" fontId="8" fillId="2" borderId="26" xfId="5" applyFont="1" applyFill="1" applyBorder="1" applyAlignment="1">
      <alignment horizontal="center" vertical="center" wrapText="1"/>
    </xf>
    <xf numFmtId="166" fontId="18" fillId="12" borderId="42" xfId="5" applyNumberFormat="1" applyFont="1" applyFill="1" applyBorder="1" applyAlignment="1">
      <alignment horizontal="center" vertical="center" wrapText="1"/>
    </xf>
    <xf numFmtId="9" fontId="18" fillId="12" borderId="40" xfId="5" applyNumberFormat="1" applyFont="1" applyFill="1" applyBorder="1" applyAlignment="1">
      <alignment horizontal="center" vertical="center" wrapText="1"/>
    </xf>
    <xf numFmtId="9" fontId="18" fillId="12" borderId="42" xfId="5" applyNumberFormat="1" applyFont="1" applyFill="1" applyBorder="1" applyAlignment="1">
      <alignment horizontal="center" vertical="center" wrapText="1"/>
    </xf>
    <xf numFmtId="9" fontId="20" fillId="9" borderId="28" xfId="5" applyFont="1" applyFill="1" applyBorder="1" applyAlignment="1">
      <alignment horizontal="center" vertical="center" wrapText="1"/>
    </xf>
    <xf numFmtId="0" fontId="3" fillId="5" borderId="0" xfId="0" applyFont="1" applyFill="1" applyAlignment="1">
      <alignment horizontal="left" vertical="center" indent="1"/>
    </xf>
    <xf numFmtId="0" fontId="5" fillId="9" borderId="28" xfId="0" applyFont="1" applyFill="1" applyBorder="1" applyAlignment="1">
      <alignment horizontal="center" vertical="center" wrapText="1"/>
    </xf>
    <xf numFmtId="9" fontId="3" fillId="5" borderId="28" xfId="5" applyFont="1" applyFill="1" applyBorder="1" applyAlignment="1">
      <alignment vertical="center"/>
    </xf>
    <xf numFmtId="11" fontId="3" fillId="5" borderId="28" xfId="5" applyNumberFormat="1" applyFont="1" applyFill="1" applyBorder="1" applyAlignment="1">
      <alignment horizontal="center" vertical="center"/>
    </xf>
    <xf numFmtId="0" fontId="24" fillId="0" borderId="18" xfId="4" applyFont="1" applyBorder="1" applyAlignment="1">
      <alignment vertical="center"/>
    </xf>
    <xf numFmtId="9" fontId="18" fillId="12" borderId="40" xfId="5" applyNumberFormat="1" applyFont="1" applyFill="1" applyBorder="1" applyAlignment="1">
      <alignment horizontal="center" vertical="center" wrapText="1"/>
    </xf>
    <xf numFmtId="9" fontId="18" fillId="12" borderId="41" xfId="5" applyNumberFormat="1" applyFont="1" applyFill="1" applyBorder="1" applyAlignment="1">
      <alignment horizontal="center" vertical="center" wrapText="1"/>
    </xf>
    <xf numFmtId="166" fontId="18" fillId="12" borderId="41" xfId="5" applyNumberFormat="1" applyFont="1" applyFill="1" applyBorder="1" applyAlignment="1">
      <alignment horizontal="center" vertical="center" wrapText="1"/>
    </xf>
    <xf numFmtId="166" fontId="18" fillId="12" borderId="42" xfId="5" applyNumberFormat="1" applyFont="1" applyFill="1" applyBorder="1" applyAlignment="1">
      <alignment horizontal="center" vertical="center" wrapText="1"/>
    </xf>
    <xf numFmtId="166" fontId="18" fillId="12" borderId="35" xfId="5" applyNumberFormat="1" applyFont="1" applyFill="1" applyBorder="1" applyAlignment="1">
      <alignment horizontal="center" vertical="center" wrapText="1"/>
    </xf>
    <xf numFmtId="166" fontId="18" fillId="12" borderId="41" xfId="5" applyNumberFormat="1" applyFont="1" applyFill="1" applyBorder="1" applyAlignment="1">
      <alignment horizontal="center" vertical="center" wrapText="1"/>
    </xf>
    <xf numFmtId="9" fontId="18" fillId="12" borderId="43" xfId="5" applyNumberFormat="1" applyFont="1" applyFill="1" applyBorder="1" applyAlignment="1">
      <alignment horizontal="center" vertical="center" wrapText="1"/>
    </xf>
    <xf numFmtId="9" fontId="18" fillId="12" borderId="44" xfId="5" applyNumberFormat="1" applyFont="1" applyFill="1" applyBorder="1" applyAlignment="1">
      <alignment horizontal="center" vertical="center" wrapText="1"/>
    </xf>
    <xf numFmtId="9" fontId="18" fillId="12" borderId="40" xfId="5" applyNumberFormat="1" applyFont="1" applyFill="1" applyBorder="1" applyAlignment="1">
      <alignment horizontal="center" vertical="center" wrapText="1"/>
    </xf>
    <xf numFmtId="9" fontId="18" fillId="12" borderId="41" xfId="5" applyNumberFormat="1" applyFont="1" applyFill="1" applyBorder="1" applyAlignment="1">
      <alignment horizontal="center" vertical="center" wrapText="1"/>
    </xf>
    <xf numFmtId="166" fontId="18" fillId="12" borderId="42" xfId="5" applyNumberFormat="1" applyFont="1" applyFill="1" applyBorder="1" applyAlignment="1">
      <alignment horizontal="center" vertical="center" wrapText="1"/>
    </xf>
    <xf numFmtId="166" fontId="18" fillId="12" borderId="35" xfId="5" applyNumberFormat="1" applyFont="1" applyFill="1" applyBorder="1" applyAlignment="1">
      <alignment horizontal="center" vertical="center" wrapText="1"/>
    </xf>
    <xf numFmtId="9" fontId="18" fillId="12" borderId="35" xfId="5" applyNumberFormat="1" applyFont="1" applyFill="1" applyBorder="1" applyAlignment="1">
      <alignment horizontal="center" vertical="center" wrapText="1"/>
    </xf>
    <xf numFmtId="166" fontId="18" fillId="12" borderId="57" xfId="5" applyNumberFormat="1" applyFont="1" applyFill="1" applyBorder="1" applyAlignment="1">
      <alignment horizontal="center" vertical="center" wrapText="1"/>
    </xf>
    <xf numFmtId="9" fontId="18" fillId="12" borderId="56" xfId="5" applyNumberFormat="1" applyFont="1" applyFill="1" applyBorder="1" applyAlignment="1">
      <alignment horizontal="center" vertical="center" wrapText="1"/>
    </xf>
    <xf numFmtId="166" fontId="18" fillId="0" borderId="0" xfId="5" applyNumberFormat="1" applyFont="1" applyFill="1" applyBorder="1" applyAlignment="1">
      <alignment horizontal="center" vertical="center" wrapText="1"/>
    </xf>
    <xf numFmtId="9" fontId="18" fillId="0" borderId="33" xfId="5" applyNumberFormat="1" applyFont="1" applyFill="1" applyBorder="1" applyAlignment="1">
      <alignment horizontal="center" vertical="center" wrapText="1"/>
    </xf>
    <xf numFmtId="166" fontId="18" fillId="0" borderId="35" xfId="5" applyNumberFormat="1" applyFont="1" applyFill="1" applyBorder="1" applyAlignment="1">
      <alignment horizontal="center" vertical="center" wrapText="1"/>
    </xf>
    <xf numFmtId="166" fontId="18" fillId="0" borderId="18" xfId="5" applyNumberFormat="1" applyFont="1" applyFill="1" applyBorder="1" applyAlignment="1">
      <alignment horizontal="center" vertical="center" wrapText="1"/>
    </xf>
    <xf numFmtId="166" fontId="18" fillId="12" borderId="40" xfId="5" applyNumberFormat="1" applyFont="1" applyFill="1" applyBorder="1" applyAlignment="1">
      <alignment vertical="center" wrapText="1"/>
    </xf>
    <xf numFmtId="9" fontId="18" fillId="12" borderId="18" xfId="5" applyNumberFormat="1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8" fillId="0" borderId="20" xfId="0" applyFont="1" applyFill="1" applyBorder="1" applyAlignment="1">
      <alignment horizontal="center" vertical="center" wrapText="1"/>
    </xf>
    <xf numFmtId="0" fontId="8" fillId="0" borderId="22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left" vertical="center"/>
    </xf>
    <xf numFmtId="0" fontId="8" fillId="0" borderId="12" xfId="0" applyFont="1" applyFill="1" applyBorder="1" applyAlignment="1">
      <alignment horizontal="left" vertical="center"/>
    </xf>
    <xf numFmtId="0" fontId="8" fillId="10" borderId="4" xfId="0" applyFont="1" applyFill="1" applyBorder="1" applyAlignment="1">
      <alignment horizontal="left" vertical="center" wrapText="1"/>
    </xf>
    <xf numFmtId="0" fontId="8" fillId="10" borderId="8" xfId="0" applyFont="1" applyFill="1" applyBorder="1" applyAlignment="1">
      <alignment horizontal="left" vertical="center" wrapText="1"/>
    </xf>
    <xf numFmtId="0" fontId="8" fillId="10" borderId="12" xfId="0" applyFont="1" applyFill="1" applyBorder="1" applyAlignment="1">
      <alignment horizontal="left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8" fillId="0" borderId="22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left" vertical="center"/>
    </xf>
    <xf numFmtId="0" fontId="8" fillId="0" borderId="18" xfId="0" applyFont="1" applyFill="1" applyBorder="1" applyAlignment="1">
      <alignment horizontal="left" vertical="center"/>
    </xf>
    <xf numFmtId="0" fontId="5" fillId="3" borderId="8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left" vertical="center" wrapText="1"/>
    </xf>
    <xf numFmtId="0" fontId="5" fillId="3" borderId="8" xfId="0" applyFont="1" applyFill="1" applyBorder="1" applyAlignment="1">
      <alignment horizontal="left" vertical="center" wrapText="1"/>
    </xf>
    <xf numFmtId="0" fontId="5" fillId="3" borderId="12" xfId="0" applyFont="1" applyFill="1" applyBorder="1" applyAlignment="1">
      <alignment horizontal="left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5" fillId="3" borderId="22" xfId="0" applyFont="1" applyFill="1" applyBorder="1" applyAlignment="1">
      <alignment horizontal="center" vertical="center" wrapText="1"/>
    </xf>
    <xf numFmtId="0" fontId="5" fillId="3" borderId="19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11" xfId="0" applyFont="1" applyFill="1" applyBorder="1" applyAlignment="1">
      <alignment horizontal="center" vertical="center" wrapText="1"/>
    </xf>
    <xf numFmtId="0" fontId="8" fillId="11" borderId="0" xfId="0" applyFont="1" applyFill="1" applyAlignment="1">
      <alignment horizontal="left" vertical="center" wrapText="1"/>
    </xf>
    <xf numFmtId="0" fontId="5" fillId="3" borderId="20" xfId="0" applyFont="1" applyFill="1" applyBorder="1" applyAlignment="1">
      <alignment horizontal="center" vertical="center" wrapText="1"/>
    </xf>
    <xf numFmtId="0" fontId="5" fillId="3" borderId="21" xfId="0" applyFont="1" applyFill="1" applyBorder="1" applyAlignment="1">
      <alignment horizontal="center" vertical="center" wrapText="1"/>
    </xf>
    <xf numFmtId="0" fontId="5" fillId="3" borderId="16" xfId="0" applyFont="1" applyFill="1" applyBorder="1" applyAlignment="1">
      <alignment horizontal="center" vertical="center" wrapText="1"/>
    </xf>
    <xf numFmtId="0" fontId="5" fillId="3" borderId="23" xfId="1" applyFont="1" applyFill="1" applyBorder="1" applyAlignment="1">
      <alignment horizontal="center" vertical="center"/>
    </xf>
    <xf numFmtId="0" fontId="5" fillId="3" borderId="18" xfId="1" applyFont="1" applyFill="1" applyBorder="1" applyAlignment="1">
      <alignment horizontal="center" vertical="center"/>
    </xf>
    <xf numFmtId="0" fontId="5" fillId="3" borderId="1" xfId="1" applyFont="1" applyFill="1" applyBorder="1" applyAlignment="1">
      <alignment horizontal="center" vertical="center"/>
    </xf>
    <xf numFmtId="0" fontId="5" fillId="3" borderId="2" xfId="1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left" vertical="center" wrapText="1"/>
    </xf>
    <xf numFmtId="0" fontId="8" fillId="0" borderId="17" xfId="0" applyFont="1" applyFill="1" applyBorder="1" applyAlignment="1">
      <alignment horizontal="left"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7" xfId="0" applyFont="1" applyBorder="1" applyAlignment="1">
      <alignment horizontal="left" vertical="center" wrapText="1"/>
    </xf>
    <xf numFmtId="0" fontId="8" fillId="2" borderId="14" xfId="0" applyFont="1" applyFill="1" applyBorder="1" applyAlignment="1">
      <alignment horizontal="left" vertical="center" wrapText="1"/>
    </xf>
    <xf numFmtId="0" fontId="8" fillId="2" borderId="15" xfId="0" applyFont="1" applyFill="1" applyBorder="1" applyAlignment="1">
      <alignment horizontal="left" vertical="center" wrapText="1"/>
    </xf>
    <xf numFmtId="0" fontId="8" fillId="0" borderId="15" xfId="0" applyFont="1" applyFill="1" applyBorder="1" applyAlignment="1">
      <alignment horizontal="left" vertical="center" wrapText="1"/>
    </xf>
    <xf numFmtId="0" fontId="8" fillId="2" borderId="18" xfId="0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horizontal="left" vertical="center" wrapText="1"/>
    </xf>
    <xf numFmtId="0" fontId="8" fillId="0" borderId="8" xfId="0" applyFont="1" applyFill="1" applyBorder="1" applyAlignment="1">
      <alignment horizontal="left" vertical="center" wrapText="1"/>
    </xf>
    <xf numFmtId="0" fontId="8" fillId="0" borderId="12" xfId="0" applyFont="1" applyFill="1" applyBorder="1" applyAlignment="1">
      <alignment horizontal="left" vertical="center" wrapText="1"/>
    </xf>
    <xf numFmtId="0" fontId="8" fillId="0" borderId="13" xfId="0" applyFont="1" applyFill="1" applyBorder="1" applyAlignment="1">
      <alignment horizontal="left" vertical="center" wrapText="1"/>
    </xf>
    <xf numFmtId="0" fontId="11" fillId="0" borderId="18" xfId="0" applyFont="1" applyFill="1" applyBorder="1" applyAlignment="1">
      <alignment horizontal="left" vertical="center" wrapText="1"/>
    </xf>
    <xf numFmtId="0" fontId="8" fillId="0" borderId="18" xfId="0" applyFont="1" applyFill="1" applyBorder="1" applyAlignment="1">
      <alignment horizontal="left" vertical="center" wrapText="1"/>
    </xf>
    <xf numFmtId="0" fontId="8" fillId="0" borderId="14" xfId="0" applyFont="1" applyFill="1" applyBorder="1" applyAlignment="1">
      <alignment horizontal="left" vertical="top" wrapText="1"/>
    </xf>
    <xf numFmtId="0" fontId="8" fillId="0" borderId="17" xfId="0" applyFont="1" applyFill="1" applyBorder="1" applyAlignment="1">
      <alignment horizontal="left" vertical="top" wrapText="1"/>
    </xf>
    <xf numFmtId="0" fontId="7" fillId="0" borderId="14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9" fontId="20" fillId="9" borderId="28" xfId="5" applyFont="1" applyFill="1" applyBorder="1" applyAlignment="1">
      <alignment horizontal="center" vertical="center" wrapText="1"/>
    </xf>
    <xf numFmtId="9" fontId="5" fillId="9" borderId="48" xfId="5" applyFont="1" applyFill="1" applyBorder="1" applyAlignment="1">
      <alignment horizontal="center" vertical="center" wrapText="1"/>
    </xf>
    <xf numFmtId="9" fontId="5" fillId="9" borderId="0" xfId="5" applyFont="1" applyFill="1" applyBorder="1" applyAlignment="1">
      <alignment horizontal="center" vertical="center" wrapText="1"/>
    </xf>
    <xf numFmtId="0" fontId="7" fillId="15" borderId="35" xfId="0" applyFont="1" applyFill="1" applyBorder="1" applyAlignment="1">
      <alignment horizontal="center" vertical="center" wrapText="1"/>
    </xf>
    <xf numFmtId="0" fontId="7" fillId="15" borderId="37" xfId="0" applyFont="1" applyFill="1" applyBorder="1" applyAlignment="1">
      <alignment horizontal="center" vertical="center" wrapText="1"/>
    </xf>
    <xf numFmtId="166" fontId="18" fillId="14" borderId="53" xfId="5" applyNumberFormat="1" applyFont="1" applyFill="1" applyBorder="1" applyAlignment="1">
      <alignment horizontal="center" vertical="center" wrapText="1"/>
    </xf>
    <xf numFmtId="166" fontId="18" fillId="14" borderId="54" xfId="5" applyNumberFormat="1" applyFont="1" applyFill="1" applyBorder="1" applyAlignment="1">
      <alignment horizontal="center" vertical="center" wrapText="1"/>
    </xf>
    <xf numFmtId="166" fontId="18" fillId="14" borderId="55" xfId="5" applyNumberFormat="1" applyFont="1" applyFill="1" applyBorder="1" applyAlignment="1">
      <alignment horizontal="center" vertical="center" wrapText="1"/>
    </xf>
    <xf numFmtId="9" fontId="18" fillId="12" borderId="40" xfId="5" applyNumberFormat="1" applyFont="1" applyFill="1" applyBorder="1" applyAlignment="1">
      <alignment horizontal="center" vertical="center" wrapText="1"/>
    </xf>
    <xf numFmtId="9" fontId="18" fillId="12" borderId="41" xfId="5" applyNumberFormat="1" applyFont="1" applyFill="1" applyBorder="1" applyAlignment="1">
      <alignment horizontal="center" vertical="center" wrapText="1"/>
    </xf>
    <xf numFmtId="0" fontId="7" fillId="15" borderId="36" xfId="0" applyFont="1" applyFill="1" applyBorder="1" applyAlignment="1">
      <alignment horizontal="center" vertical="center" wrapText="1"/>
    </xf>
    <xf numFmtId="166" fontId="17" fillId="0" borderId="38" xfId="5" applyNumberFormat="1" applyFont="1" applyBorder="1" applyAlignment="1">
      <alignment horizontal="left" vertical="center" wrapText="1"/>
    </xf>
    <xf numFmtId="166" fontId="17" fillId="0" borderId="39" xfId="5" applyNumberFormat="1" applyFont="1" applyBorder="1" applyAlignment="1">
      <alignment horizontal="left" vertical="center" wrapText="1"/>
    </xf>
    <xf numFmtId="166" fontId="18" fillId="12" borderId="40" xfId="5" applyNumberFormat="1" applyFont="1" applyFill="1" applyBorder="1" applyAlignment="1">
      <alignment horizontal="center" vertical="center" wrapText="1"/>
    </xf>
    <xf numFmtId="166" fontId="18" fillId="12" borderId="41" xfId="5" applyNumberFormat="1" applyFont="1" applyFill="1" applyBorder="1" applyAlignment="1">
      <alignment horizontal="center" vertical="center" wrapText="1"/>
    </xf>
    <xf numFmtId="166" fontId="18" fillId="12" borderId="42" xfId="5" applyNumberFormat="1" applyFont="1" applyFill="1" applyBorder="1" applyAlignment="1">
      <alignment horizontal="center" vertical="center" wrapText="1"/>
    </xf>
    <xf numFmtId="166" fontId="18" fillId="12" borderId="35" xfId="5" applyNumberFormat="1" applyFont="1" applyFill="1" applyBorder="1" applyAlignment="1">
      <alignment horizontal="center" vertical="center" wrapText="1"/>
    </xf>
    <xf numFmtId="166" fontId="17" fillId="0" borderId="30" xfId="5" applyNumberFormat="1" applyFont="1" applyBorder="1" applyAlignment="1">
      <alignment horizontal="left" vertical="center" wrapText="1"/>
    </xf>
    <xf numFmtId="0" fontId="23" fillId="14" borderId="37" xfId="0" applyFont="1" applyFill="1" applyBorder="1" applyAlignment="1">
      <alignment horizontal="center" vertical="center"/>
    </xf>
  </cellXfs>
  <cellStyles count="7">
    <cellStyle name="Normal" xfId="0" builtinId="0"/>
    <cellStyle name="Percent" xfId="5" builtinId="5"/>
    <cellStyle name="Standard 2" xfId="1" xr:uid="{00000000-0005-0000-0000-000002000000}"/>
    <cellStyle name="Standard 2 2" xfId="4" xr:uid="{00000000-0005-0000-0000-000003000000}"/>
    <cellStyle name="Standard 3" xfId="2" xr:uid="{00000000-0005-0000-0000-000004000000}"/>
    <cellStyle name="Standard 4" xfId="3" xr:uid="{00000000-0005-0000-0000-000005000000}"/>
    <cellStyle name="Standard 5" xfId="6" xr:uid="{00000000-0005-0000-0000-000006000000}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7.emf"/><Relationship Id="rId7" Type="http://schemas.openxmlformats.org/officeDocument/2006/relationships/image" Target="../media/image11.png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emf"/><Relationship Id="rId2" Type="http://schemas.openxmlformats.org/officeDocument/2006/relationships/image" Target="../media/image16.emf"/><Relationship Id="rId1" Type="http://schemas.openxmlformats.org/officeDocument/2006/relationships/image" Target="../media/image15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5" Type="http://schemas.openxmlformats.org/officeDocument/2006/relationships/image" Target="../media/image24.png"/><Relationship Id="rId4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69010</xdr:colOff>
      <xdr:row>21</xdr:row>
      <xdr:rowOff>17253</xdr:rowOff>
    </xdr:from>
    <xdr:to>
      <xdr:col>4</xdr:col>
      <xdr:colOff>3614467</xdr:colOff>
      <xdr:row>31</xdr:row>
      <xdr:rowOff>108896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0112" y="4019910"/>
          <a:ext cx="7703389" cy="1903190"/>
        </a:xfrm>
        <a:prstGeom prst="rect">
          <a:avLst/>
        </a:prstGeom>
      </xdr:spPr>
    </xdr:pic>
    <xdr:clientData/>
  </xdr:twoCellAnchor>
  <xdr:twoCellAnchor editAs="oneCell">
    <xdr:from>
      <xdr:col>1</xdr:col>
      <xdr:colOff>94891</xdr:colOff>
      <xdr:row>31</xdr:row>
      <xdr:rowOff>43136</xdr:rowOff>
    </xdr:from>
    <xdr:to>
      <xdr:col>4</xdr:col>
      <xdr:colOff>3597215</xdr:colOff>
      <xdr:row>54</xdr:row>
      <xdr:rowOff>11117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5993" y="5857340"/>
          <a:ext cx="7660256" cy="4134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862641</xdr:colOff>
      <xdr:row>9</xdr:row>
      <xdr:rowOff>146649</xdr:rowOff>
    </xdr:from>
    <xdr:to>
      <xdr:col>6</xdr:col>
      <xdr:colOff>276169</xdr:colOff>
      <xdr:row>27</xdr:row>
      <xdr:rowOff>845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BA05555E-450B-4755-A4AF-732ADD11D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2641" y="1794294"/>
          <a:ext cx="4761905" cy="33047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3</xdr:row>
      <xdr:rowOff>1</xdr:rowOff>
    </xdr:from>
    <xdr:to>
      <xdr:col>5</xdr:col>
      <xdr:colOff>26742</xdr:colOff>
      <xdr:row>28</xdr:row>
      <xdr:rowOff>69012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7148" y="517586"/>
          <a:ext cx="3615330" cy="43822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36</xdr:row>
      <xdr:rowOff>103518</xdr:rowOff>
    </xdr:from>
    <xdr:to>
      <xdr:col>11</xdr:col>
      <xdr:colOff>862643</xdr:colOff>
      <xdr:row>63</xdr:row>
      <xdr:rowOff>60386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19" y="6314537"/>
          <a:ext cx="9834114" cy="4615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232913</xdr:colOff>
      <xdr:row>63</xdr:row>
      <xdr:rowOff>163903</xdr:rowOff>
    </xdr:from>
    <xdr:to>
      <xdr:col>11</xdr:col>
      <xdr:colOff>301925</xdr:colOff>
      <xdr:row>80</xdr:row>
      <xdr:rowOff>34507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13" y="11033186"/>
          <a:ext cx="9489057" cy="2803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80</xdr:row>
      <xdr:rowOff>86264</xdr:rowOff>
    </xdr:from>
    <xdr:to>
      <xdr:col>18</xdr:col>
      <xdr:colOff>543465</xdr:colOff>
      <xdr:row>108</xdr:row>
      <xdr:rowOff>0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41743" y="13888528"/>
          <a:ext cx="7720642" cy="4744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258792</xdr:colOff>
      <xdr:row>35</xdr:row>
      <xdr:rowOff>120769</xdr:rowOff>
    </xdr:from>
    <xdr:to>
      <xdr:col>15</xdr:col>
      <xdr:colOff>31313</xdr:colOff>
      <xdr:row>36</xdr:row>
      <xdr:rowOff>0</xdr:rowOff>
    </xdr:to>
    <xdr:cxnSp macro="">
      <xdr:nvCxnSpPr>
        <xdr:cNvPr id="11" name="Gerader Verbinder 10">
          <a:extLst>
            <a:ext uri="{FF2B5EF4-FFF2-40B4-BE49-F238E27FC236}">
              <a16:creationId xmlns:a16="http://schemas.microsoft.com/office/drawing/2014/main" id="{170A2B56-C1FD-4F91-9990-AC543F864770}"/>
            </a:ext>
          </a:extLst>
        </xdr:cNvPr>
        <xdr:cNvCxnSpPr/>
      </xdr:nvCxnSpPr>
      <xdr:spPr>
        <a:xfrm>
          <a:off x="258792" y="6159260"/>
          <a:ext cx="12600000" cy="51759"/>
        </a:xfrm>
        <a:prstGeom prst="line">
          <a:avLst/>
        </a:prstGeom>
        <a:ln w="190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112142</xdr:colOff>
      <xdr:row>36</xdr:row>
      <xdr:rowOff>8626</xdr:rowOff>
    </xdr:from>
    <xdr:to>
      <xdr:col>12</xdr:col>
      <xdr:colOff>112142</xdr:colOff>
      <xdr:row>80</xdr:row>
      <xdr:rowOff>49381</xdr:rowOff>
    </xdr:to>
    <xdr:cxnSp macro="">
      <xdr:nvCxnSpPr>
        <xdr:cNvPr id="3" name="Gerader Verbinder 2">
          <a:extLst>
            <a:ext uri="{FF2B5EF4-FFF2-40B4-BE49-F238E27FC236}">
              <a16:creationId xmlns:a16="http://schemas.microsoft.com/office/drawing/2014/main" id="{953468E6-4D00-4A0D-9E3D-EC849102F5C1}"/>
            </a:ext>
          </a:extLst>
        </xdr:cNvPr>
        <xdr:cNvCxnSpPr/>
      </xdr:nvCxnSpPr>
      <xdr:spPr>
        <a:xfrm>
          <a:off x="10248180" y="6219645"/>
          <a:ext cx="0" cy="7632000"/>
        </a:xfrm>
        <a:prstGeom prst="line">
          <a:avLst/>
        </a:prstGeom>
        <a:ln w="190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250166</xdr:colOff>
      <xdr:row>63</xdr:row>
      <xdr:rowOff>103516</xdr:rowOff>
    </xdr:from>
    <xdr:to>
      <xdr:col>12</xdr:col>
      <xdr:colOff>112143</xdr:colOff>
      <xdr:row>63</xdr:row>
      <xdr:rowOff>146649</xdr:rowOff>
    </xdr:to>
    <xdr:cxnSp macro="">
      <xdr:nvCxnSpPr>
        <xdr:cNvPr id="12" name="Gerader Verbinder 11">
          <a:extLst>
            <a:ext uri="{FF2B5EF4-FFF2-40B4-BE49-F238E27FC236}">
              <a16:creationId xmlns:a16="http://schemas.microsoft.com/office/drawing/2014/main" id="{472371A7-DB3F-41E2-B2C4-826A9666634D}"/>
            </a:ext>
          </a:extLst>
        </xdr:cNvPr>
        <xdr:cNvCxnSpPr/>
      </xdr:nvCxnSpPr>
      <xdr:spPr>
        <a:xfrm>
          <a:off x="250166" y="10972799"/>
          <a:ext cx="9998015" cy="43133"/>
        </a:xfrm>
        <a:prstGeom prst="line">
          <a:avLst/>
        </a:prstGeom>
        <a:ln w="190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232912</xdr:colOff>
      <xdr:row>80</xdr:row>
      <xdr:rowOff>43132</xdr:rowOff>
    </xdr:from>
    <xdr:to>
      <xdr:col>21</xdr:col>
      <xdr:colOff>886550</xdr:colOff>
      <xdr:row>80</xdr:row>
      <xdr:rowOff>43132</xdr:rowOff>
    </xdr:to>
    <xdr:cxnSp macro="">
      <xdr:nvCxnSpPr>
        <xdr:cNvPr id="14" name="Gerader Verbinder 13">
          <a:extLst>
            <a:ext uri="{FF2B5EF4-FFF2-40B4-BE49-F238E27FC236}">
              <a16:creationId xmlns:a16="http://schemas.microsoft.com/office/drawing/2014/main" id="{9CCF09D4-25D2-4671-97A1-871C12A3E829}"/>
            </a:ext>
          </a:extLst>
        </xdr:cNvPr>
        <xdr:cNvCxnSpPr/>
      </xdr:nvCxnSpPr>
      <xdr:spPr>
        <a:xfrm>
          <a:off x="232912" y="13845396"/>
          <a:ext cx="18864000" cy="0"/>
        </a:xfrm>
        <a:prstGeom prst="line">
          <a:avLst/>
        </a:prstGeom>
        <a:ln w="190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25880</xdr:colOff>
      <xdr:row>99</xdr:row>
      <xdr:rowOff>112143</xdr:rowOff>
    </xdr:from>
    <xdr:to>
      <xdr:col>9</xdr:col>
      <xdr:colOff>595223</xdr:colOff>
      <xdr:row>99</xdr:row>
      <xdr:rowOff>129396</xdr:rowOff>
    </xdr:to>
    <xdr:cxnSp macro="">
      <xdr:nvCxnSpPr>
        <xdr:cNvPr id="16" name="Gerader Verbinder 15">
          <a:extLst>
            <a:ext uri="{FF2B5EF4-FFF2-40B4-BE49-F238E27FC236}">
              <a16:creationId xmlns:a16="http://schemas.microsoft.com/office/drawing/2014/main" id="{A26159C1-CC99-49C2-B2B4-3D06F5C9F574}"/>
            </a:ext>
          </a:extLst>
        </xdr:cNvPr>
        <xdr:cNvCxnSpPr/>
      </xdr:nvCxnSpPr>
      <xdr:spPr>
        <a:xfrm>
          <a:off x="293299" y="17192445"/>
          <a:ext cx="7746520" cy="17253"/>
        </a:xfrm>
        <a:prstGeom prst="line">
          <a:avLst/>
        </a:prstGeom>
        <a:ln w="190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586597</xdr:colOff>
      <xdr:row>80</xdr:row>
      <xdr:rowOff>86264</xdr:rowOff>
    </xdr:from>
    <xdr:to>
      <xdr:col>9</xdr:col>
      <xdr:colOff>586597</xdr:colOff>
      <xdr:row>129</xdr:row>
      <xdr:rowOff>20377</xdr:rowOff>
    </xdr:to>
    <xdr:cxnSp macro="">
      <xdr:nvCxnSpPr>
        <xdr:cNvPr id="17" name="Gerader Verbinder 16">
          <a:extLst>
            <a:ext uri="{FF2B5EF4-FFF2-40B4-BE49-F238E27FC236}">
              <a16:creationId xmlns:a16="http://schemas.microsoft.com/office/drawing/2014/main" id="{A18888FE-8752-491B-886B-5FAC90AC70D1}"/>
            </a:ext>
          </a:extLst>
        </xdr:cNvPr>
        <xdr:cNvCxnSpPr/>
      </xdr:nvCxnSpPr>
      <xdr:spPr>
        <a:xfrm>
          <a:off x="8031193" y="13888528"/>
          <a:ext cx="0" cy="8388000"/>
        </a:xfrm>
        <a:prstGeom prst="line">
          <a:avLst/>
        </a:prstGeom>
        <a:ln w="190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8627</xdr:colOff>
      <xdr:row>80</xdr:row>
      <xdr:rowOff>86265</xdr:rowOff>
    </xdr:from>
    <xdr:to>
      <xdr:col>9</xdr:col>
      <xdr:colOff>284672</xdr:colOff>
      <xdr:row>99</xdr:row>
      <xdr:rowOff>87645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7D543684-41A1-4A7D-B061-EDBB7B19B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046" y="13888529"/>
          <a:ext cx="7453222" cy="3279418"/>
        </a:xfrm>
        <a:prstGeom prst="rect">
          <a:avLst/>
        </a:prstGeom>
      </xdr:spPr>
    </xdr:pic>
    <xdr:clientData/>
  </xdr:twoCellAnchor>
  <xdr:twoCellAnchor editAs="oneCell">
    <xdr:from>
      <xdr:col>1</xdr:col>
      <xdr:colOff>25881</xdr:colOff>
      <xdr:row>99</xdr:row>
      <xdr:rowOff>146650</xdr:rowOff>
    </xdr:from>
    <xdr:to>
      <xdr:col>9</xdr:col>
      <xdr:colOff>103519</xdr:colOff>
      <xdr:row>120</xdr:row>
      <xdr:rowOff>123413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E76FBBE2-181A-4AB7-82B0-C90C33D31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93300" y="17226952"/>
          <a:ext cx="7254815" cy="3599857"/>
        </a:xfrm>
        <a:prstGeom prst="rect">
          <a:avLst/>
        </a:prstGeom>
      </xdr:spPr>
    </xdr:pic>
    <xdr:clientData/>
  </xdr:twoCellAnchor>
  <xdr:twoCellAnchor editAs="oneCell">
    <xdr:from>
      <xdr:col>10</xdr:col>
      <xdr:colOff>17253</xdr:colOff>
      <xdr:row>109</xdr:row>
      <xdr:rowOff>86263</xdr:rowOff>
    </xdr:from>
    <xdr:to>
      <xdr:col>17</xdr:col>
      <xdr:colOff>308652</xdr:colOff>
      <xdr:row>128</xdr:row>
      <xdr:rowOff>46320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BE118D3E-2CD1-4F2A-B757-F5C3A5C51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358996" y="18891848"/>
          <a:ext cx="6571429" cy="3238095"/>
        </a:xfrm>
        <a:prstGeom prst="rect">
          <a:avLst/>
        </a:prstGeom>
      </xdr:spPr>
    </xdr:pic>
    <xdr:clientData/>
  </xdr:twoCellAnchor>
  <xdr:twoCellAnchor>
    <xdr:from>
      <xdr:col>9</xdr:col>
      <xdr:colOff>595223</xdr:colOff>
      <xdr:row>108</xdr:row>
      <xdr:rowOff>163901</xdr:rowOff>
    </xdr:from>
    <xdr:to>
      <xdr:col>19</xdr:col>
      <xdr:colOff>11751</xdr:colOff>
      <xdr:row>108</xdr:row>
      <xdr:rowOff>163901</xdr:rowOff>
    </xdr:to>
    <xdr:cxnSp macro="">
      <xdr:nvCxnSpPr>
        <xdr:cNvPr id="23" name="Gerader Verbinder 22">
          <a:extLst>
            <a:ext uri="{FF2B5EF4-FFF2-40B4-BE49-F238E27FC236}">
              <a16:creationId xmlns:a16="http://schemas.microsoft.com/office/drawing/2014/main" id="{174BB5D3-AAE1-4929-9B1A-34EDACE6E876}"/>
            </a:ext>
          </a:extLst>
        </xdr:cNvPr>
        <xdr:cNvCxnSpPr/>
      </xdr:nvCxnSpPr>
      <xdr:spPr>
        <a:xfrm>
          <a:off x="8039819" y="18796958"/>
          <a:ext cx="8388000" cy="0"/>
        </a:xfrm>
        <a:prstGeom prst="line">
          <a:avLst/>
        </a:prstGeom>
        <a:ln w="190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181155</xdr:colOff>
      <xdr:row>36</xdr:row>
      <xdr:rowOff>16681</xdr:rowOff>
    </xdr:from>
    <xdr:to>
      <xdr:col>21</xdr:col>
      <xdr:colOff>617208</xdr:colOff>
      <xdr:row>67</xdr:row>
      <xdr:rowOff>172528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A1BF0145-568A-4580-8390-4A9CF2427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317193" y="6227700"/>
          <a:ext cx="8510378" cy="5504224"/>
        </a:xfrm>
        <a:prstGeom prst="rect">
          <a:avLst/>
        </a:prstGeom>
      </xdr:spPr>
    </xdr:pic>
    <xdr:clientData/>
  </xdr:twoCellAnchor>
  <xdr:twoCellAnchor editAs="oneCell">
    <xdr:from>
      <xdr:col>1</xdr:col>
      <xdr:colOff>232912</xdr:colOff>
      <xdr:row>1</xdr:row>
      <xdr:rowOff>91706</xdr:rowOff>
    </xdr:from>
    <xdr:to>
      <xdr:col>12</xdr:col>
      <xdr:colOff>884325</xdr:colOff>
      <xdr:row>34</xdr:row>
      <xdr:rowOff>163901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45B9720D-D94D-4C8D-9FAC-B971DFE3B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00331" y="264234"/>
          <a:ext cx="10520031" cy="576562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1</xdr:rowOff>
    </xdr:from>
    <xdr:to>
      <xdr:col>9</xdr:col>
      <xdr:colOff>103517</xdr:colOff>
      <xdr:row>3</xdr:row>
      <xdr:rowOff>153705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8575" y="517586"/>
          <a:ext cx="7280693" cy="49876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6</xdr:col>
      <xdr:colOff>181156</xdr:colOff>
      <xdr:row>19</xdr:row>
      <xdr:rowOff>129396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147" y="862642"/>
          <a:ext cx="4666891" cy="2544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327804</xdr:colOff>
      <xdr:row>8</xdr:row>
      <xdr:rowOff>7972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7147" y="172528"/>
          <a:ext cx="3916393" cy="121567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12</xdr:col>
      <xdr:colOff>353683</xdr:colOff>
      <xdr:row>50</xdr:row>
      <xdr:rowOff>103517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147" y="1552755"/>
          <a:ext cx="10222302" cy="7177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232913</xdr:colOff>
      <xdr:row>90</xdr:row>
      <xdr:rowOff>129396</xdr:rowOff>
    </xdr:from>
    <xdr:to>
      <xdr:col>14</xdr:col>
      <xdr:colOff>276044</xdr:colOff>
      <xdr:row>116</xdr:row>
      <xdr:rowOff>17253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13" y="15656943"/>
          <a:ext cx="12128739" cy="4373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370936</xdr:colOff>
      <xdr:row>50</xdr:row>
      <xdr:rowOff>120770</xdr:rowOff>
    </xdr:from>
    <xdr:to>
      <xdr:col>15</xdr:col>
      <xdr:colOff>43132</xdr:colOff>
      <xdr:row>50</xdr:row>
      <xdr:rowOff>155276</xdr:rowOff>
    </xdr:to>
    <xdr:cxnSp macro="">
      <xdr:nvCxnSpPr>
        <xdr:cNvPr id="7" name="Gerader Verbinder 6">
          <a:extLst>
            <a:ext uri="{FF2B5EF4-FFF2-40B4-BE49-F238E27FC236}">
              <a16:creationId xmlns:a16="http://schemas.microsoft.com/office/drawing/2014/main" id="{8C691BF3-CD20-4AD7-9418-B41AAF33F650}"/>
            </a:ext>
          </a:extLst>
        </xdr:cNvPr>
        <xdr:cNvCxnSpPr/>
      </xdr:nvCxnSpPr>
      <xdr:spPr>
        <a:xfrm>
          <a:off x="370936" y="8954219"/>
          <a:ext cx="12654951" cy="34506"/>
        </a:xfrm>
        <a:prstGeom prst="line">
          <a:avLst/>
        </a:prstGeom>
        <a:ln w="190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284672</xdr:colOff>
      <xdr:row>90</xdr:row>
      <xdr:rowOff>86264</xdr:rowOff>
    </xdr:from>
    <xdr:to>
      <xdr:col>14</xdr:col>
      <xdr:colOff>862641</xdr:colOff>
      <xdr:row>90</xdr:row>
      <xdr:rowOff>155276</xdr:rowOff>
    </xdr:to>
    <xdr:cxnSp macro="">
      <xdr:nvCxnSpPr>
        <xdr:cNvPr id="8" name="Gerader Verbinder 7">
          <a:extLst>
            <a:ext uri="{FF2B5EF4-FFF2-40B4-BE49-F238E27FC236}">
              <a16:creationId xmlns:a16="http://schemas.microsoft.com/office/drawing/2014/main" id="{568DF49B-DFB1-4439-A9BF-5257309587F6}"/>
            </a:ext>
          </a:extLst>
        </xdr:cNvPr>
        <xdr:cNvCxnSpPr/>
      </xdr:nvCxnSpPr>
      <xdr:spPr>
        <a:xfrm>
          <a:off x="284672" y="15820845"/>
          <a:ext cx="12663577" cy="69012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13</xdr:col>
      <xdr:colOff>267420</xdr:colOff>
      <xdr:row>1</xdr:row>
      <xdr:rowOff>0</xdr:rowOff>
    </xdr:from>
    <xdr:to>
      <xdr:col>24</xdr:col>
      <xdr:colOff>176540</xdr:colOff>
      <xdr:row>39</xdr:row>
      <xdr:rowOff>170874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C0EF21A-2EEC-463F-8171-524B80476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455880" y="379562"/>
          <a:ext cx="9777739" cy="6726950"/>
        </a:xfrm>
        <a:prstGeom prst="rect">
          <a:avLst/>
        </a:prstGeom>
      </xdr:spPr>
    </xdr:pic>
    <xdr:clientData/>
  </xdr:twoCellAnchor>
  <xdr:twoCellAnchor editAs="oneCell">
    <xdr:from>
      <xdr:col>0</xdr:col>
      <xdr:colOff>379888</xdr:colOff>
      <xdr:row>50</xdr:row>
      <xdr:rowOff>163902</xdr:rowOff>
    </xdr:from>
    <xdr:to>
      <xdr:col>14</xdr:col>
      <xdr:colOff>580652</xdr:colOff>
      <xdr:row>90</xdr:row>
      <xdr:rowOff>60385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445C696-1E82-430E-A61E-3D0CD5AEE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79888" y="8997351"/>
          <a:ext cx="12286372" cy="679761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7</xdr:col>
      <xdr:colOff>170800</xdr:colOff>
      <xdr:row>25</xdr:row>
      <xdr:rowOff>8982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46548A89-FCE1-4CE1-BA38-0E8BC53D6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7147" y="172528"/>
          <a:ext cx="5553683" cy="414966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0</xdr:row>
      <xdr:rowOff>301924</xdr:rowOff>
    </xdr:from>
    <xdr:to>
      <xdr:col>14</xdr:col>
      <xdr:colOff>170800</xdr:colOff>
      <xdr:row>31</xdr:row>
      <xdr:rowOff>69577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B1CF911-C3E4-4F7F-80AA-39E333DD0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42008" y="301924"/>
          <a:ext cx="5553683" cy="5279932"/>
        </a:xfrm>
        <a:prstGeom prst="rect">
          <a:avLst/>
        </a:prstGeom>
      </xdr:spPr>
    </xdr:pic>
    <xdr:clientData/>
  </xdr:twoCellAnchor>
  <xdr:twoCellAnchor editAs="oneCell">
    <xdr:from>
      <xdr:col>1</xdr:col>
      <xdr:colOff>25879</xdr:colOff>
      <xdr:row>25</xdr:row>
      <xdr:rowOff>163902</xdr:rowOff>
    </xdr:from>
    <xdr:to>
      <xdr:col>7</xdr:col>
      <xdr:colOff>149060</xdr:colOff>
      <xdr:row>46</xdr:row>
      <xdr:rowOff>86159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E6C0CBB0-A7A2-49E9-BC57-810E6A9B8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3026" y="4477110"/>
          <a:ext cx="5506064" cy="3545352"/>
        </a:xfrm>
        <a:prstGeom prst="rect">
          <a:avLst/>
        </a:prstGeom>
      </xdr:spPr>
    </xdr:pic>
    <xdr:clientData/>
  </xdr:twoCellAnchor>
  <xdr:twoCellAnchor editAs="oneCell">
    <xdr:from>
      <xdr:col>1</xdr:col>
      <xdr:colOff>30373</xdr:colOff>
      <xdr:row>46</xdr:row>
      <xdr:rowOff>48523</xdr:rowOff>
    </xdr:from>
    <xdr:to>
      <xdr:col>7</xdr:col>
      <xdr:colOff>48792</xdr:colOff>
      <xdr:row>53</xdr:row>
      <xdr:rowOff>115031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B34A7D7B-6718-4321-BB09-C4E2B5452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27520" y="7984825"/>
          <a:ext cx="5401302" cy="1274206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33</xdr:row>
      <xdr:rowOff>0</xdr:rowOff>
    </xdr:from>
    <xdr:to>
      <xdr:col>14</xdr:col>
      <xdr:colOff>104133</xdr:colOff>
      <xdr:row>42</xdr:row>
      <xdr:rowOff>162778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3AE10B47-735D-4A94-ADC1-E23245E25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142008" y="5857336"/>
          <a:ext cx="5487016" cy="17155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N110"/>
  <sheetViews>
    <sheetView zoomScale="115" zoomScaleNormal="115" workbookViewId="0">
      <pane xSplit="6" ySplit="12" topLeftCell="G13" activePane="bottomRight" state="frozen"/>
      <selection pane="topRight" activeCell="G1" sqref="G1"/>
      <selection pane="bottomLeft" activeCell="A13" sqref="A13"/>
      <selection pane="bottomRight"/>
    </sheetView>
  </sheetViews>
  <sheetFormatPr defaultColWidth="11" defaultRowHeight="14.25" x14ac:dyDescent="0.2"/>
  <cols>
    <col min="1" max="1" width="3.375" style="1" customWidth="1"/>
    <col min="2" max="2" width="23" style="45" customWidth="1"/>
    <col min="3" max="3" width="10.125" style="45" customWidth="1"/>
    <col min="4" max="4" width="41.375" style="45" customWidth="1"/>
    <col min="5" max="5" width="10.375" style="45" hidden="1" customWidth="1"/>
    <col min="6" max="6" width="8.625" style="45" hidden="1" customWidth="1"/>
    <col min="7" max="7" width="12.125" style="45" customWidth="1"/>
    <col min="8" max="8" width="10" style="46" customWidth="1"/>
    <col min="9" max="10" width="7.75" style="46" customWidth="1"/>
    <col min="11" max="11" width="10" style="46" customWidth="1"/>
    <col min="12" max="12" width="36.25" style="45" customWidth="1"/>
    <col min="13" max="13" width="11.125" style="46" customWidth="1"/>
    <col min="14" max="14" width="8.625" style="46" customWidth="1"/>
    <col min="15" max="15" width="45.25" style="68" customWidth="1"/>
    <col min="16" max="16" width="11" style="45" hidden="1" customWidth="1"/>
    <col min="17" max="17" width="10.625" style="46" hidden="1" customWidth="1"/>
    <col min="18" max="18" width="8.625" style="47" hidden="1" customWidth="1"/>
    <col min="19" max="20" width="10.625" style="47" hidden="1" customWidth="1"/>
    <col min="21" max="22" width="8.625" style="46" hidden="1" customWidth="1"/>
    <col min="23" max="23" width="11.625" style="47" hidden="1" customWidth="1"/>
    <col min="24" max="24" width="8.625" style="46" hidden="1" customWidth="1"/>
    <col min="25" max="25" width="4" style="6" hidden="1" customWidth="1"/>
    <col min="26" max="26" width="11" style="63"/>
    <col min="27" max="27" width="35" style="63" customWidth="1"/>
    <col min="28" max="36" width="11" style="63"/>
  </cols>
  <sheetData>
    <row r="1" spans="1:36" x14ac:dyDescent="0.2">
      <c r="B1" s="19"/>
      <c r="C1" s="19"/>
      <c r="D1" s="19"/>
      <c r="E1" s="19"/>
      <c r="F1" s="19"/>
      <c r="G1" s="19"/>
      <c r="H1" s="20"/>
      <c r="I1" s="20"/>
      <c r="J1" s="20"/>
      <c r="K1" s="20"/>
      <c r="L1" s="19"/>
      <c r="M1" s="20"/>
      <c r="N1" s="20"/>
      <c r="O1" s="67"/>
      <c r="P1" s="19"/>
      <c r="Q1" s="20"/>
      <c r="R1" s="20"/>
      <c r="S1" s="20"/>
      <c r="T1" s="20"/>
      <c r="U1" s="20"/>
      <c r="V1" s="20"/>
      <c r="W1" s="20"/>
      <c r="X1" s="20"/>
    </row>
    <row r="2" spans="1:36" s="9" customFormat="1" ht="23.85" customHeight="1" x14ac:dyDescent="0.2">
      <c r="A2" s="8"/>
      <c r="B2" s="18" t="s">
        <v>175</v>
      </c>
      <c r="C2" s="18"/>
      <c r="D2" s="442" t="s">
        <v>184</v>
      </c>
      <c r="E2" s="442"/>
      <c r="F2" s="442"/>
      <c r="G2" s="442"/>
      <c r="H2" s="442"/>
      <c r="I2" s="442"/>
      <c r="J2" s="442"/>
      <c r="K2" s="442"/>
      <c r="L2" s="442"/>
      <c r="M2" s="110"/>
      <c r="N2" s="20"/>
      <c r="O2" s="67"/>
      <c r="P2" s="19"/>
      <c r="Q2" s="20"/>
      <c r="R2" s="20"/>
      <c r="S2" s="20"/>
      <c r="T2" s="20"/>
      <c r="U2" s="20"/>
      <c r="V2" s="20"/>
      <c r="W2" s="20"/>
      <c r="X2" s="20"/>
      <c r="Y2" s="19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</row>
    <row r="3" spans="1:36" s="9" customFormat="1" x14ac:dyDescent="0.2">
      <c r="A3" s="8"/>
      <c r="B3" s="18" t="s">
        <v>176</v>
      </c>
      <c r="C3" s="21"/>
      <c r="D3" s="21" t="s">
        <v>185</v>
      </c>
      <c r="E3" s="21"/>
      <c r="F3" s="21"/>
      <c r="G3" s="21"/>
      <c r="H3" s="110"/>
      <c r="I3" s="110"/>
      <c r="J3" s="110"/>
      <c r="K3" s="110"/>
      <c r="L3" s="21"/>
      <c r="M3" s="110"/>
      <c r="N3" s="20"/>
      <c r="O3" s="67"/>
      <c r="P3" s="19"/>
      <c r="Q3" s="20"/>
      <c r="R3" s="20"/>
      <c r="S3" s="20"/>
      <c r="T3" s="20"/>
      <c r="U3" s="20"/>
      <c r="V3" s="20"/>
      <c r="W3" s="20"/>
      <c r="X3" s="20"/>
      <c r="Y3" s="19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</row>
    <row r="4" spans="1:36" s="9" customFormat="1" x14ac:dyDescent="0.2">
      <c r="A4" s="8"/>
      <c r="B4" s="18" t="s">
        <v>177</v>
      </c>
      <c r="C4" s="21"/>
      <c r="D4" s="21" t="s">
        <v>189</v>
      </c>
      <c r="E4" s="21"/>
      <c r="F4" s="21"/>
      <c r="G4" s="21"/>
      <c r="H4" s="110"/>
      <c r="I4" s="110"/>
      <c r="J4" s="110"/>
      <c r="K4" s="110"/>
      <c r="L4" s="21"/>
      <c r="M4" s="110"/>
      <c r="N4" s="20"/>
      <c r="O4" s="67"/>
      <c r="P4" s="19"/>
      <c r="Q4" s="20"/>
      <c r="R4" s="20"/>
      <c r="S4" s="20"/>
      <c r="T4" s="20"/>
      <c r="U4" s="20"/>
      <c r="V4" s="20"/>
      <c r="W4" s="20"/>
      <c r="X4" s="20"/>
      <c r="Y4" s="19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</row>
    <row r="5" spans="1:36" s="9" customFormat="1" x14ac:dyDescent="0.2">
      <c r="A5" s="8"/>
      <c r="B5" s="18" t="s">
        <v>178</v>
      </c>
      <c r="C5" s="21"/>
      <c r="D5" s="21" t="s">
        <v>186</v>
      </c>
      <c r="E5" s="21"/>
      <c r="F5" s="21"/>
      <c r="G5" s="21"/>
      <c r="H5" s="110"/>
      <c r="I5" s="110"/>
      <c r="J5" s="110"/>
      <c r="K5" s="110"/>
      <c r="L5" s="21"/>
      <c r="M5" s="110"/>
      <c r="N5" s="20"/>
      <c r="O5" s="67"/>
      <c r="P5" s="19"/>
      <c r="Q5" s="20"/>
      <c r="R5" s="20"/>
      <c r="S5" s="20"/>
      <c r="T5" s="20"/>
      <c r="U5" s="20"/>
      <c r="V5" s="20"/>
      <c r="W5" s="20"/>
      <c r="X5" s="20"/>
      <c r="Y5" s="19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</row>
    <row r="6" spans="1:36" s="9" customFormat="1" x14ac:dyDescent="0.2">
      <c r="A6" s="8"/>
      <c r="B6" s="18" t="s">
        <v>179</v>
      </c>
      <c r="C6" s="21"/>
      <c r="D6" s="21" t="s">
        <v>188</v>
      </c>
      <c r="E6" s="21"/>
      <c r="F6" s="21"/>
      <c r="G6" s="21"/>
      <c r="H6" s="110"/>
      <c r="I6" s="110"/>
      <c r="J6" s="110"/>
      <c r="K6" s="110"/>
      <c r="L6" s="21"/>
      <c r="M6" s="110"/>
      <c r="N6" s="20"/>
      <c r="O6" s="67"/>
      <c r="P6" s="19"/>
      <c r="Q6" s="20"/>
      <c r="R6" s="20"/>
      <c r="S6" s="20"/>
      <c r="T6" s="20"/>
      <c r="U6" s="20"/>
      <c r="V6" s="20"/>
      <c r="W6" s="20"/>
      <c r="X6" s="20"/>
      <c r="Y6" s="19"/>
      <c r="Z6" s="64"/>
      <c r="AA6" s="45"/>
      <c r="AB6" s="45"/>
      <c r="AC6" s="45"/>
      <c r="AD6" s="45"/>
      <c r="AE6" s="45"/>
      <c r="AF6" s="45"/>
      <c r="AG6" s="45"/>
      <c r="AH6" s="45"/>
      <c r="AI6" s="45"/>
      <c r="AJ6" s="45"/>
    </row>
    <row r="7" spans="1:36" s="9" customFormat="1" x14ac:dyDescent="0.2">
      <c r="A7" s="8"/>
      <c r="B7" s="18" t="s">
        <v>180</v>
      </c>
      <c r="C7" s="21"/>
      <c r="D7" s="21" t="s">
        <v>181</v>
      </c>
      <c r="E7" s="21"/>
      <c r="F7" s="21"/>
      <c r="G7" s="21"/>
      <c r="H7" s="110"/>
      <c r="I7" s="110"/>
      <c r="J7" s="110"/>
      <c r="K7" s="110"/>
      <c r="L7" s="21"/>
      <c r="M7" s="110"/>
      <c r="N7" s="20"/>
      <c r="O7" s="67"/>
      <c r="P7" s="19"/>
      <c r="Q7" s="20"/>
      <c r="R7" s="20"/>
      <c r="S7" s="20"/>
      <c r="T7" s="20"/>
      <c r="U7" s="20"/>
      <c r="V7" s="20"/>
      <c r="W7" s="20"/>
      <c r="X7" s="20"/>
      <c r="Y7" s="19"/>
      <c r="Z7" s="64"/>
      <c r="AA7" s="64"/>
      <c r="AB7" s="64"/>
      <c r="AC7" s="64"/>
      <c r="AD7" s="64"/>
      <c r="AE7" s="64"/>
      <c r="AF7" s="64"/>
      <c r="AG7" s="45"/>
      <c r="AH7" s="45"/>
      <c r="AI7" s="45"/>
      <c r="AJ7" s="45"/>
    </row>
    <row r="8" spans="1:36" s="9" customFormat="1" x14ac:dyDescent="0.2">
      <c r="A8" s="8"/>
      <c r="B8" s="18" t="s">
        <v>183</v>
      </c>
      <c r="C8" s="21"/>
      <c r="D8" s="21" t="s">
        <v>187</v>
      </c>
      <c r="E8" s="21"/>
      <c r="F8" s="21"/>
      <c r="G8" s="21"/>
      <c r="H8" s="110"/>
      <c r="I8" s="110"/>
      <c r="J8" s="110"/>
      <c r="K8" s="110"/>
      <c r="L8" s="21"/>
      <c r="M8" s="110"/>
      <c r="N8" s="20"/>
      <c r="O8" s="67"/>
      <c r="P8" s="19"/>
      <c r="Q8" s="20"/>
      <c r="R8" s="20"/>
      <c r="S8" s="20"/>
      <c r="T8" s="20"/>
      <c r="U8" s="20"/>
      <c r="V8" s="20"/>
      <c r="W8" s="20"/>
      <c r="X8" s="20"/>
      <c r="Y8" s="19"/>
      <c r="Z8" s="64"/>
      <c r="AA8" s="13"/>
      <c r="AB8" s="64"/>
      <c r="AC8" s="64"/>
      <c r="AD8" s="64"/>
      <c r="AE8" s="64"/>
      <c r="AF8" s="64"/>
      <c r="AG8" s="45"/>
      <c r="AH8" s="45"/>
      <c r="AI8" s="45"/>
      <c r="AJ8" s="45"/>
    </row>
    <row r="9" spans="1:36" x14ac:dyDescent="0.2">
      <c r="B9" s="19"/>
      <c r="C9" s="19"/>
      <c r="D9" s="19"/>
      <c r="E9" s="19"/>
      <c r="F9" s="19"/>
      <c r="G9" s="19"/>
      <c r="H9" s="20"/>
      <c r="I9" s="20"/>
      <c r="J9" s="20"/>
      <c r="K9" s="20"/>
      <c r="L9" s="19"/>
      <c r="M9" s="20"/>
      <c r="N9" s="20"/>
      <c r="O9" s="67"/>
      <c r="P9" s="19"/>
      <c r="Q9" s="20"/>
      <c r="R9" s="20"/>
      <c r="S9" s="20"/>
      <c r="T9" s="20"/>
      <c r="U9" s="20"/>
      <c r="V9" s="20"/>
      <c r="W9" s="20"/>
      <c r="X9" s="20"/>
      <c r="Z9" s="65"/>
      <c r="AA9" s="66"/>
      <c r="AB9" s="65"/>
      <c r="AC9" s="65"/>
      <c r="AD9" s="65"/>
      <c r="AE9" s="65"/>
      <c r="AF9" s="65"/>
    </row>
    <row r="10" spans="1:36" ht="15" customHeight="1" x14ac:dyDescent="0.2">
      <c r="B10" s="426" t="s">
        <v>0</v>
      </c>
      <c r="C10" s="426" t="s">
        <v>255</v>
      </c>
      <c r="D10" s="426" t="s">
        <v>283</v>
      </c>
      <c r="E10" s="426" t="s">
        <v>1</v>
      </c>
      <c r="F10" s="426" t="s">
        <v>2</v>
      </c>
      <c r="G10" s="426" t="s">
        <v>261</v>
      </c>
      <c r="H10" s="443" t="s">
        <v>190</v>
      </c>
      <c r="I10" s="444"/>
      <c r="J10" s="444"/>
      <c r="K10" s="445"/>
      <c r="L10" s="426" t="s">
        <v>182</v>
      </c>
      <c r="M10" s="426" t="s">
        <v>256</v>
      </c>
      <c r="N10" s="426" t="s">
        <v>266</v>
      </c>
      <c r="O10" s="431" t="s">
        <v>257</v>
      </c>
      <c r="P10" s="22" t="s">
        <v>3</v>
      </c>
      <c r="Q10" s="434" t="s">
        <v>4</v>
      </c>
      <c r="R10" s="435"/>
      <c r="S10" s="435"/>
      <c r="T10" s="435"/>
      <c r="U10" s="435"/>
      <c r="V10" s="435"/>
      <c r="W10" s="435"/>
      <c r="X10" s="436"/>
      <c r="Z10" s="65"/>
      <c r="AA10" s="66"/>
      <c r="AB10" s="65"/>
      <c r="AC10" s="65"/>
      <c r="AD10" s="65"/>
      <c r="AE10" s="65"/>
      <c r="AF10" s="65"/>
    </row>
    <row r="11" spans="1:36" ht="15" customHeight="1" x14ac:dyDescent="0.2">
      <c r="B11" s="430"/>
      <c r="C11" s="430"/>
      <c r="D11" s="430"/>
      <c r="E11" s="430"/>
      <c r="F11" s="430"/>
      <c r="G11" s="430"/>
      <c r="H11" s="23" t="s">
        <v>161</v>
      </c>
      <c r="I11" s="437" t="s">
        <v>162</v>
      </c>
      <c r="J11" s="438"/>
      <c r="K11" s="23" t="s">
        <v>163</v>
      </c>
      <c r="L11" s="430"/>
      <c r="M11" s="430"/>
      <c r="N11" s="430"/>
      <c r="O11" s="432"/>
      <c r="P11" s="22"/>
      <c r="Q11" s="439" t="s">
        <v>5</v>
      </c>
      <c r="R11" s="440"/>
      <c r="S11" s="441"/>
      <c r="T11" s="426" t="s">
        <v>6</v>
      </c>
      <c r="U11" s="426" t="s">
        <v>7</v>
      </c>
      <c r="V11" s="426" t="s">
        <v>8</v>
      </c>
      <c r="W11" s="426" t="s">
        <v>9</v>
      </c>
      <c r="X11" s="426" t="s">
        <v>10</v>
      </c>
      <c r="AA11" s="66"/>
      <c r="AB11" s="65"/>
      <c r="AC11" s="65"/>
      <c r="AD11" s="65"/>
      <c r="AE11" s="65"/>
      <c r="AF11" s="65"/>
    </row>
    <row r="12" spans="1:36" ht="33.950000000000003" customHeight="1" x14ac:dyDescent="0.2">
      <c r="B12" s="427"/>
      <c r="C12" s="427"/>
      <c r="D12" s="427"/>
      <c r="E12" s="427"/>
      <c r="F12" s="427"/>
      <c r="G12" s="427"/>
      <c r="H12" s="24" t="s">
        <v>164</v>
      </c>
      <c r="I12" s="24" t="s">
        <v>165</v>
      </c>
      <c r="J12" s="24" t="s">
        <v>166</v>
      </c>
      <c r="K12" s="24" t="s">
        <v>167</v>
      </c>
      <c r="L12" s="427"/>
      <c r="M12" s="427"/>
      <c r="N12" s="427"/>
      <c r="O12" s="433"/>
      <c r="P12" s="22"/>
      <c r="Q12" s="22" t="s">
        <v>11</v>
      </c>
      <c r="R12" s="22" t="s">
        <v>12</v>
      </c>
      <c r="S12" s="22" t="s">
        <v>13</v>
      </c>
      <c r="T12" s="427"/>
      <c r="U12" s="427"/>
      <c r="V12" s="427"/>
      <c r="W12" s="427"/>
      <c r="X12" s="427"/>
      <c r="Y12" s="65"/>
    </row>
    <row r="13" spans="1:36" x14ac:dyDescent="0.2">
      <c r="B13" s="25" t="s">
        <v>14</v>
      </c>
      <c r="C13" s="26"/>
      <c r="D13" s="26"/>
      <c r="E13" s="26"/>
      <c r="F13" s="26"/>
      <c r="G13" s="26"/>
      <c r="H13" s="111"/>
      <c r="I13" s="111"/>
      <c r="J13" s="111"/>
      <c r="K13" s="111"/>
      <c r="L13" s="26"/>
      <c r="M13" s="111"/>
      <c r="N13" s="111"/>
      <c r="O13" s="122"/>
      <c r="P13" s="26"/>
      <c r="Q13" s="26"/>
      <c r="R13" s="26"/>
      <c r="S13" s="26"/>
      <c r="T13" s="26"/>
      <c r="U13" s="26"/>
      <c r="V13" s="26"/>
      <c r="W13" s="26"/>
      <c r="X13" s="27"/>
    </row>
    <row r="14" spans="1:36" s="1" customFormat="1" x14ac:dyDescent="0.2">
      <c r="B14" s="28" t="s">
        <v>116</v>
      </c>
      <c r="C14" s="29"/>
      <c r="D14" s="29"/>
      <c r="E14" s="29"/>
      <c r="F14" s="29"/>
      <c r="G14" s="29"/>
      <c r="H14" s="112"/>
      <c r="I14" s="112"/>
      <c r="J14" s="112"/>
      <c r="K14" s="112"/>
      <c r="L14" s="154"/>
      <c r="M14" s="112"/>
      <c r="N14" s="112"/>
      <c r="O14" s="123"/>
      <c r="P14" s="29"/>
      <c r="Q14" s="29"/>
      <c r="R14" s="29"/>
      <c r="S14" s="29"/>
      <c r="T14" s="29"/>
      <c r="U14" s="29"/>
      <c r="V14" s="29"/>
      <c r="W14" s="29"/>
      <c r="X14" s="30"/>
      <c r="Y14" s="6"/>
      <c r="Z14" s="63"/>
      <c r="AA14" s="63"/>
      <c r="AB14" s="63"/>
      <c r="AC14" s="63"/>
      <c r="AD14" s="63"/>
      <c r="AE14" s="63"/>
      <c r="AF14" s="6"/>
      <c r="AG14" s="6"/>
      <c r="AH14" s="6"/>
      <c r="AI14" s="6"/>
      <c r="AJ14" s="6"/>
    </row>
    <row r="15" spans="1:36" s="1" customFormat="1" x14ac:dyDescent="0.2">
      <c r="B15" s="31" t="s">
        <v>258</v>
      </c>
      <c r="C15" s="32" t="s">
        <v>32</v>
      </c>
      <c r="D15" s="31" t="s">
        <v>38</v>
      </c>
      <c r="E15" s="33" t="s">
        <v>19</v>
      </c>
      <c r="F15" s="32">
        <v>2011</v>
      </c>
      <c r="G15" s="32" t="s">
        <v>263</v>
      </c>
      <c r="H15" s="32">
        <v>40</v>
      </c>
      <c r="I15" s="32">
        <v>40</v>
      </c>
      <c r="J15" s="32">
        <v>12.5</v>
      </c>
      <c r="K15" s="72">
        <v>40</v>
      </c>
      <c r="L15" s="168" t="s">
        <v>279</v>
      </c>
      <c r="M15" s="73" t="s">
        <v>265</v>
      </c>
      <c r="N15" s="32" t="s">
        <v>193</v>
      </c>
      <c r="O15" s="31"/>
      <c r="P15" s="34"/>
      <c r="Q15" s="32">
        <v>2</v>
      </c>
      <c r="R15" s="33">
        <v>1</v>
      </c>
      <c r="S15" s="33">
        <v>1</v>
      </c>
      <c r="T15" s="33">
        <v>2</v>
      </c>
      <c r="U15" s="34">
        <v>2</v>
      </c>
      <c r="V15" s="35">
        <f t="shared" ref="V15:V23" si="0">AVERAGE(Q15:U15)</f>
        <v>1.6</v>
      </c>
      <c r="W15" s="33">
        <v>5</v>
      </c>
      <c r="X15" s="36">
        <f t="shared" ref="X15:X23" si="1">AVERAGE(Q15:V15)</f>
        <v>1.5999999999999999</v>
      </c>
      <c r="Y15" s="6"/>
      <c r="Z15" s="63"/>
      <c r="AA15" s="63"/>
      <c r="AB15" s="63"/>
      <c r="AC15" s="63"/>
      <c r="AD15" s="63"/>
      <c r="AE15" s="63"/>
      <c r="AF15" s="6"/>
      <c r="AG15" s="6"/>
      <c r="AH15" s="6"/>
      <c r="AI15" s="6"/>
      <c r="AJ15" s="6"/>
    </row>
    <row r="16" spans="1:36" s="1" customFormat="1" x14ac:dyDescent="0.2">
      <c r="B16" s="31" t="s">
        <v>259</v>
      </c>
      <c r="C16" s="32" t="s">
        <v>32</v>
      </c>
      <c r="D16" s="31" t="s">
        <v>38</v>
      </c>
      <c r="E16" s="33"/>
      <c r="F16" s="32"/>
      <c r="G16" s="32" t="s">
        <v>263</v>
      </c>
      <c r="H16" s="32">
        <v>1.2</v>
      </c>
      <c r="I16" s="32">
        <v>1.2</v>
      </c>
      <c r="J16" s="32">
        <v>0.4</v>
      </c>
      <c r="K16" s="72">
        <v>1.2</v>
      </c>
      <c r="L16" s="168" t="s">
        <v>279</v>
      </c>
      <c r="M16" s="73" t="s">
        <v>265</v>
      </c>
      <c r="N16" s="32" t="s">
        <v>193</v>
      </c>
      <c r="O16" s="31"/>
      <c r="P16" s="34"/>
      <c r="Q16" s="32"/>
      <c r="R16" s="33"/>
      <c r="S16" s="33"/>
      <c r="T16" s="33"/>
      <c r="U16" s="34"/>
      <c r="V16" s="35"/>
      <c r="W16" s="33"/>
      <c r="X16" s="36"/>
      <c r="Y16" s="6"/>
      <c r="Z16" s="63"/>
      <c r="AA16" s="63"/>
      <c r="AB16" s="63"/>
      <c r="AC16" s="63"/>
      <c r="AD16" s="63"/>
      <c r="AE16" s="63"/>
      <c r="AF16" s="6"/>
      <c r="AG16" s="6"/>
      <c r="AH16" s="6"/>
      <c r="AI16" s="6"/>
      <c r="AJ16" s="6"/>
    </row>
    <row r="17" spans="1:40" s="1" customFormat="1" x14ac:dyDescent="0.2">
      <c r="B17" s="31" t="s">
        <v>260</v>
      </c>
      <c r="C17" s="32" t="s">
        <v>32</v>
      </c>
      <c r="D17" s="31" t="s">
        <v>38</v>
      </c>
      <c r="E17" s="33"/>
      <c r="F17" s="32"/>
      <c r="G17" s="32" t="s">
        <v>263</v>
      </c>
      <c r="H17" s="37">
        <v>1.4400000000000001E-3</v>
      </c>
      <c r="I17" s="37">
        <v>1.4400000000000001E-3</v>
      </c>
      <c r="J17" s="37">
        <v>1.4400000000000001E-3</v>
      </c>
      <c r="K17" s="213">
        <v>1.4400000000000001E-3</v>
      </c>
      <c r="L17" s="168" t="s">
        <v>279</v>
      </c>
      <c r="M17" s="73" t="s">
        <v>265</v>
      </c>
      <c r="N17" s="32" t="s">
        <v>193</v>
      </c>
      <c r="O17" s="31"/>
      <c r="P17" s="34"/>
      <c r="Q17" s="32"/>
      <c r="R17" s="33"/>
      <c r="S17" s="33"/>
      <c r="T17" s="33"/>
      <c r="U17" s="34"/>
      <c r="V17" s="35"/>
      <c r="W17" s="33"/>
      <c r="X17" s="36"/>
      <c r="Y17" s="6"/>
      <c r="Z17" s="63"/>
      <c r="AA17" s="63"/>
      <c r="AB17" s="63"/>
      <c r="AC17" s="63"/>
      <c r="AD17" s="63"/>
      <c r="AE17" s="63"/>
      <c r="AF17" s="6"/>
      <c r="AG17" s="6"/>
      <c r="AH17" s="6"/>
      <c r="AI17" s="6"/>
      <c r="AJ17" s="6"/>
    </row>
    <row r="18" spans="1:40" s="1" customFormat="1" x14ac:dyDescent="0.2">
      <c r="B18" s="31" t="s">
        <v>64</v>
      </c>
      <c r="C18" s="32" t="s">
        <v>32</v>
      </c>
      <c r="D18" s="31" t="s">
        <v>117</v>
      </c>
      <c r="E18" s="33" t="s">
        <v>19</v>
      </c>
      <c r="F18" s="32">
        <v>2012</v>
      </c>
      <c r="G18" s="32" t="s">
        <v>262</v>
      </c>
      <c r="H18" s="32">
        <v>11</v>
      </c>
      <c r="I18" s="32">
        <v>11</v>
      </c>
      <c r="J18" s="32">
        <v>5.5</v>
      </c>
      <c r="K18" s="32">
        <v>11</v>
      </c>
      <c r="L18" s="48" t="s">
        <v>117</v>
      </c>
      <c r="M18" s="70" t="s">
        <v>265</v>
      </c>
      <c r="N18" s="70" t="s">
        <v>193</v>
      </c>
      <c r="O18" s="31"/>
      <c r="P18" s="34"/>
      <c r="Q18" s="32">
        <v>1</v>
      </c>
      <c r="R18" s="33">
        <v>1</v>
      </c>
      <c r="S18" s="33">
        <v>1</v>
      </c>
      <c r="T18" s="33">
        <v>2</v>
      </c>
      <c r="U18" s="34">
        <v>2</v>
      </c>
      <c r="V18" s="35">
        <f t="shared" si="0"/>
        <v>1.4</v>
      </c>
      <c r="W18" s="33">
        <v>5</v>
      </c>
      <c r="X18" s="36">
        <f t="shared" si="1"/>
        <v>1.4000000000000001</v>
      </c>
      <c r="Y18" s="6"/>
      <c r="Z18" s="63"/>
      <c r="AA18" s="63"/>
      <c r="AB18" s="63"/>
      <c r="AC18" s="63"/>
      <c r="AD18" s="63"/>
      <c r="AE18" s="63"/>
      <c r="AF18" s="6"/>
      <c r="AG18" s="6"/>
      <c r="AH18" s="6"/>
      <c r="AI18" s="6"/>
      <c r="AJ18" s="6"/>
    </row>
    <row r="19" spans="1:40" s="1" customFormat="1" x14ac:dyDescent="0.2">
      <c r="B19" s="415" t="s">
        <v>118</v>
      </c>
      <c r="C19" s="32" t="s">
        <v>20</v>
      </c>
      <c r="D19" s="31" t="s">
        <v>119</v>
      </c>
      <c r="E19" s="33" t="s">
        <v>19</v>
      </c>
      <c r="F19" s="32">
        <v>2012</v>
      </c>
      <c r="G19" s="32" t="s">
        <v>262</v>
      </c>
      <c r="H19" s="32">
        <v>0.308</v>
      </c>
      <c r="I19" s="32">
        <v>0.45300000000000001</v>
      </c>
      <c r="J19" s="32">
        <v>0</v>
      </c>
      <c r="K19" s="72">
        <v>0.37</v>
      </c>
      <c r="L19" s="75" t="s">
        <v>211</v>
      </c>
      <c r="M19" s="77" t="s">
        <v>197</v>
      </c>
      <c r="N19" s="77" t="s">
        <v>193</v>
      </c>
      <c r="O19" s="58"/>
      <c r="P19" s="34"/>
      <c r="Q19" s="32">
        <v>1</v>
      </c>
      <c r="R19" s="33">
        <v>1</v>
      </c>
      <c r="S19" s="33">
        <v>2</v>
      </c>
      <c r="T19" s="33">
        <v>2</v>
      </c>
      <c r="U19" s="34">
        <v>2</v>
      </c>
      <c r="V19" s="35">
        <f t="shared" si="0"/>
        <v>1.6</v>
      </c>
      <c r="W19" s="33">
        <v>5</v>
      </c>
      <c r="X19" s="36">
        <f t="shared" si="1"/>
        <v>1.5999999999999999</v>
      </c>
      <c r="Y19" s="6"/>
      <c r="Z19" s="63"/>
      <c r="AA19" s="63"/>
      <c r="AB19" s="63"/>
      <c r="AC19" s="63"/>
      <c r="AD19" s="63"/>
      <c r="AE19" s="63"/>
      <c r="AF19" s="6"/>
      <c r="AG19" s="6"/>
      <c r="AH19" s="6"/>
      <c r="AI19" s="6"/>
      <c r="AJ19" s="6"/>
    </row>
    <row r="20" spans="1:40" s="1" customFormat="1" x14ac:dyDescent="0.2">
      <c r="B20" s="428"/>
      <c r="C20" s="32" t="s">
        <v>20</v>
      </c>
      <c r="D20" s="31" t="s">
        <v>120</v>
      </c>
      <c r="E20" s="33" t="s">
        <v>19</v>
      </c>
      <c r="F20" s="32">
        <v>2005</v>
      </c>
      <c r="G20" s="32" t="s">
        <v>262</v>
      </c>
      <c r="H20" s="32">
        <v>7.6999999999999999E-2</v>
      </c>
      <c r="I20" s="32">
        <v>0.219</v>
      </c>
      <c r="J20" s="32">
        <v>0</v>
      </c>
      <c r="K20" s="72">
        <v>0.14299999999999999</v>
      </c>
      <c r="L20" s="75" t="s">
        <v>220</v>
      </c>
      <c r="M20" s="77" t="s">
        <v>197</v>
      </c>
      <c r="N20" s="77" t="s">
        <v>193</v>
      </c>
      <c r="O20" s="58"/>
      <c r="P20" s="34"/>
      <c r="Q20" s="32">
        <v>3</v>
      </c>
      <c r="R20" s="33">
        <v>3</v>
      </c>
      <c r="S20" s="33">
        <v>2</v>
      </c>
      <c r="T20" s="33">
        <v>3</v>
      </c>
      <c r="U20" s="34">
        <v>3</v>
      </c>
      <c r="V20" s="35">
        <f t="shared" si="0"/>
        <v>2.8</v>
      </c>
      <c r="W20" s="33">
        <v>5</v>
      </c>
      <c r="X20" s="36">
        <f t="shared" si="1"/>
        <v>2.8000000000000003</v>
      </c>
      <c r="Y20" s="6"/>
      <c r="Z20" s="63"/>
      <c r="AA20" s="63"/>
      <c r="AB20" s="63"/>
      <c r="AC20" s="63"/>
      <c r="AD20" s="63"/>
      <c r="AE20" s="63"/>
      <c r="AF20" s="6"/>
      <c r="AG20" s="6"/>
      <c r="AH20" s="6"/>
      <c r="AI20" s="6"/>
      <c r="AJ20" s="6"/>
    </row>
    <row r="21" spans="1:40" s="1" customFormat="1" x14ac:dyDescent="0.2">
      <c r="B21" s="428"/>
      <c r="C21" s="32" t="s">
        <v>32</v>
      </c>
      <c r="D21" s="31" t="s">
        <v>121</v>
      </c>
      <c r="E21" s="33" t="s">
        <v>19</v>
      </c>
      <c r="F21" s="32">
        <v>2012</v>
      </c>
      <c r="G21" s="32" t="s">
        <v>262</v>
      </c>
      <c r="H21" s="32">
        <v>0</v>
      </c>
      <c r="I21" s="32">
        <v>0</v>
      </c>
      <c r="J21" s="32">
        <v>6.0000000000000001E-3</v>
      </c>
      <c r="K21" s="72">
        <v>0</v>
      </c>
      <c r="L21" s="75" t="s">
        <v>219</v>
      </c>
      <c r="M21" s="77" t="s">
        <v>197</v>
      </c>
      <c r="N21" s="77" t="s">
        <v>193</v>
      </c>
      <c r="O21" s="58"/>
      <c r="P21" s="34"/>
      <c r="Q21" s="32">
        <v>3</v>
      </c>
      <c r="R21" s="33">
        <v>1</v>
      </c>
      <c r="S21" s="33">
        <v>1</v>
      </c>
      <c r="T21" s="33">
        <v>3</v>
      </c>
      <c r="U21" s="34">
        <v>3</v>
      </c>
      <c r="V21" s="35">
        <f t="shared" si="0"/>
        <v>2.2000000000000002</v>
      </c>
      <c r="W21" s="33">
        <v>5</v>
      </c>
      <c r="X21" s="36">
        <f t="shared" si="1"/>
        <v>2.1999999999999997</v>
      </c>
      <c r="Y21" s="6"/>
      <c r="Z21" s="63"/>
      <c r="AA21" s="63"/>
      <c r="AB21" s="63"/>
      <c r="AC21" s="63"/>
      <c r="AD21" s="63"/>
      <c r="AE21" s="63"/>
      <c r="AF21" s="6"/>
      <c r="AG21" s="6"/>
      <c r="AH21" s="6"/>
      <c r="AI21" s="6"/>
      <c r="AJ21" s="6"/>
    </row>
    <row r="22" spans="1:40" s="1" customFormat="1" x14ac:dyDescent="0.2">
      <c r="B22" s="416"/>
      <c r="C22" s="32" t="s">
        <v>32</v>
      </c>
      <c r="D22" s="31" t="s">
        <v>65</v>
      </c>
      <c r="E22" s="33" t="s">
        <v>19</v>
      </c>
      <c r="F22" s="32">
        <v>2012</v>
      </c>
      <c r="G22" s="32" t="s">
        <v>262</v>
      </c>
      <c r="H22" s="32">
        <v>0</v>
      </c>
      <c r="I22" s="32">
        <v>0</v>
      </c>
      <c r="J22" s="32">
        <v>6.0000000000000001E-3</v>
      </c>
      <c r="K22" s="72">
        <v>0</v>
      </c>
      <c r="L22" s="75" t="s">
        <v>235</v>
      </c>
      <c r="M22" s="77" t="s">
        <v>197</v>
      </c>
      <c r="N22" s="77" t="s">
        <v>193</v>
      </c>
      <c r="O22" s="58"/>
      <c r="P22" s="34"/>
      <c r="Q22" s="34">
        <v>2</v>
      </c>
      <c r="R22" s="33">
        <v>1</v>
      </c>
      <c r="S22" s="33">
        <v>1</v>
      </c>
      <c r="T22" s="33">
        <v>2</v>
      </c>
      <c r="U22" s="34">
        <v>2</v>
      </c>
      <c r="V22" s="35">
        <f t="shared" si="0"/>
        <v>1.6</v>
      </c>
      <c r="W22" s="33">
        <v>5</v>
      </c>
      <c r="X22" s="36">
        <f t="shared" si="1"/>
        <v>1.5999999999999999</v>
      </c>
      <c r="Y22" s="6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/>
      <c r="AL22"/>
      <c r="AM22"/>
      <c r="AN22"/>
    </row>
    <row r="23" spans="1:40" s="1" customFormat="1" x14ac:dyDescent="0.2">
      <c r="B23" s="31" t="s">
        <v>122</v>
      </c>
      <c r="C23" s="32" t="s">
        <v>32</v>
      </c>
      <c r="D23" s="31" t="s">
        <v>123</v>
      </c>
      <c r="E23" s="33" t="s">
        <v>19</v>
      </c>
      <c r="F23" s="32">
        <v>2012</v>
      </c>
      <c r="G23" s="32" t="s">
        <v>262</v>
      </c>
      <c r="H23" s="32">
        <v>11.8</v>
      </c>
      <c r="I23" s="32">
        <v>12.1</v>
      </c>
      <c r="J23" s="32">
        <v>5.71</v>
      </c>
      <c r="K23" s="72">
        <v>11.9</v>
      </c>
      <c r="L23" s="75" t="s">
        <v>216</v>
      </c>
      <c r="M23" s="77" t="s">
        <v>192</v>
      </c>
      <c r="N23" s="77" t="s">
        <v>193</v>
      </c>
      <c r="O23" s="58"/>
      <c r="P23" s="34"/>
      <c r="Q23" s="32">
        <v>3</v>
      </c>
      <c r="R23" s="33">
        <v>1</v>
      </c>
      <c r="S23" s="33">
        <v>1</v>
      </c>
      <c r="T23" s="33">
        <v>3</v>
      </c>
      <c r="U23" s="34">
        <v>3</v>
      </c>
      <c r="V23" s="35">
        <f t="shared" si="0"/>
        <v>2.2000000000000002</v>
      </c>
      <c r="W23" s="33">
        <v>5</v>
      </c>
      <c r="X23" s="36">
        <f t="shared" si="1"/>
        <v>2.1999999999999997</v>
      </c>
      <c r="Y23" s="6"/>
      <c r="Z23" s="63"/>
      <c r="AA23" s="63"/>
      <c r="AB23" s="63"/>
      <c r="AC23" s="63"/>
      <c r="AD23" s="63"/>
      <c r="AE23" s="63"/>
      <c r="AF23" s="63"/>
      <c r="AG23" s="63"/>
      <c r="AH23" s="63"/>
      <c r="AI23" s="63"/>
      <c r="AJ23" s="63"/>
      <c r="AK23"/>
      <c r="AL23"/>
      <c r="AM23"/>
      <c r="AN23"/>
    </row>
    <row r="24" spans="1:40" x14ac:dyDescent="0.2">
      <c r="B24" s="25"/>
      <c r="C24" s="26"/>
      <c r="D24" s="26"/>
      <c r="E24" s="26"/>
      <c r="F24" s="26"/>
      <c r="G24" s="26"/>
      <c r="H24" s="111"/>
      <c r="I24" s="111"/>
      <c r="J24" s="111"/>
      <c r="K24" s="111"/>
      <c r="L24" s="78"/>
      <c r="M24" s="113"/>
      <c r="N24" s="113"/>
      <c r="O24" s="122"/>
      <c r="P24" s="26"/>
      <c r="Q24" s="26"/>
      <c r="R24" s="26"/>
      <c r="S24" s="26"/>
      <c r="T24" s="26"/>
      <c r="U24" s="26"/>
      <c r="V24" s="26"/>
      <c r="W24" s="26"/>
      <c r="X24" s="27"/>
    </row>
    <row r="25" spans="1:40" x14ac:dyDescent="0.2">
      <c r="B25" s="38" t="s">
        <v>15</v>
      </c>
      <c r="C25" s="39"/>
      <c r="D25" s="39"/>
      <c r="E25" s="39"/>
      <c r="F25" s="39"/>
      <c r="G25" s="39"/>
      <c r="H25" s="114"/>
      <c r="I25" s="114"/>
      <c r="J25" s="114"/>
      <c r="K25" s="114"/>
      <c r="L25" s="39"/>
      <c r="M25" s="114"/>
      <c r="N25" s="114"/>
      <c r="O25" s="124"/>
      <c r="P25" s="39"/>
      <c r="Q25" s="39"/>
      <c r="R25" s="39"/>
      <c r="S25" s="39"/>
      <c r="T25" s="39"/>
      <c r="U25" s="39"/>
      <c r="V25" s="39"/>
      <c r="W25" s="39"/>
      <c r="X25" s="40"/>
    </row>
    <row r="26" spans="1:40" x14ac:dyDescent="0.2">
      <c r="B26" s="92" t="s">
        <v>16</v>
      </c>
      <c r="C26" s="93"/>
      <c r="D26" s="93"/>
      <c r="E26" s="93"/>
      <c r="F26" s="93"/>
      <c r="G26" s="93"/>
      <c r="H26" s="115"/>
      <c r="I26" s="115"/>
      <c r="J26" s="115"/>
      <c r="K26" s="115"/>
      <c r="L26" s="93"/>
      <c r="M26" s="115"/>
      <c r="N26" s="115"/>
      <c r="O26" s="125"/>
      <c r="P26" s="42"/>
      <c r="Q26" s="42"/>
      <c r="R26" s="42"/>
      <c r="S26" s="42"/>
      <c r="T26" s="42"/>
      <c r="U26" s="42"/>
      <c r="V26" s="42"/>
      <c r="W26" s="42"/>
      <c r="X26" s="43"/>
    </row>
    <row r="27" spans="1:40" s="4" customFormat="1" x14ac:dyDescent="0.2">
      <c r="A27" s="3"/>
      <c r="B27" s="61" t="s">
        <v>31</v>
      </c>
      <c r="C27" s="96" t="s">
        <v>32</v>
      </c>
      <c r="D27" s="61" t="s">
        <v>31</v>
      </c>
      <c r="E27" s="77" t="s">
        <v>19</v>
      </c>
      <c r="F27" s="96">
        <v>2012</v>
      </c>
      <c r="G27" s="96" t="s">
        <v>262</v>
      </c>
      <c r="H27" s="96">
        <v>0</v>
      </c>
      <c r="I27" s="96">
        <v>0</v>
      </c>
      <c r="J27" s="96">
        <v>5.0000000000000001E-3</v>
      </c>
      <c r="K27" s="96">
        <v>0</v>
      </c>
      <c r="L27" s="97" t="s">
        <v>31</v>
      </c>
      <c r="M27" s="77" t="s">
        <v>192</v>
      </c>
      <c r="N27" s="77" t="s">
        <v>193</v>
      </c>
      <c r="O27" s="61"/>
      <c r="P27" s="90"/>
      <c r="Q27" s="34">
        <v>3</v>
      </c>
      <c r="R27" s="33">
        <v>1</v>
      </c>
      <c r="S27" s="33">
        <v>4</v>
      </c>
      <c r="T27" s="33">
        <v>3</v>
      </c>
      <c r="U27" s="34">
        <v>3</v>
      </c>
      <c r="V27" s="35">
        <f t="shared" ref="V27:V34" si="2">AVERAGE(Q27:U27)</f>
        <v>2.8</v>
      </c>
      <c r="W27" s="33">
        <v>5</v>
      </c>
      <c r="X27" s="36">
        <f t="shared" ref="X27:X34" si="3">AVERAGE(Q27:V27)</f>
        <v>2.8000000000000003</v>
      </c>
      <c r="Y27" s="67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</row>
    <row r="28" spans="1:40" s="4" customFormat="1" x14ac:dyDescent="0.2">
      <c r="A28" s="3"/>
      <c r="B28" s="85" t="s">
        <v>27</v>
      </c>
      <c r="C28" s="86" t="s">
        <v>29</v>
      </c>
      <c r="D28" s="87" t="s">
        <v>27</v>
      </c>
      <c r="E28" s="88" t="s">
        <v>28</v>
      </c>
      <c r="F28" s="86">
        <v>2012</v>
      </c>
      <c r="G28" s="86" t="s">
        <v>262</v>
      </c>
      <c r="H28" s="86">
        <v>0</v>
      </c>
      <c r="I28" s="86">
        <v>0</v>
      </c>
      <c r="J28" s="86">
        <v>2.9000000000000001E-2</v>
      </c>
      <c r="K28" s="86">
        <v>0</v>
      </c>
      <c r="L28" s="89" t="s">
        <v>200</v>
      </c>
      <c r="M28" s="88" t="s">
        <v>29</v>
      </c>
      <c r="N28" s="88" t="s">
        <v>201</v>
      </c>
      <c r="O28" s="85" t="s">
        <v>202</v>
      </c>
      <c r="P28" s="91"/>
      <c r="Q28" s="33">
        <v>2</v>
      </c>
      <c r="R28" s="33">
        <v>1</v>
      </c>
      <c r="S28" s="33">
        <v>2</v>
      </c>
      <c r="T28" s="33">
        <v>2</v>
      </c>
      <c r="U28" s="33">
        <v>2</v>
      </c>
      <c r="V28" s="44">
        <f t="shared" si="2"/>
        <v>1.8</v>
      </c>
      <c r="W28" s="33">
        <v>5</v>
      </c>
      <c r="X28" s="36">
        <f t="shared" si="3"/>
        <v>1.8</v>
      </c>
      <c r="Y28" s="67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</row>
    <row r="29" spans="1:40" s="4" customFormat="1" x14ac:dyDescent="0.2">
      <c r="A29" s="3"/>
      <c r="B29" s="85" t="s">
        <v>22</v>
      </c>
      <c r="C29" s="86" t="s">
        <v>24</v>
      </c>
      <c r="D29" s="87" t="s">
        <v>23</v>
      </c>
      <c r="E29" s="77" t="s">
        <v>19</v>
      </c>
      <c r="F29" s="96">
        <v>2012</v>
      </c>
      <c r="G29" s="86" t="s">
        <v>262</v>
      </c>
      <c r="H29" s="86">
        <v>0.19900000000000001</v>
      </c>
      <c r="I29" s="86">
        <v>7.2999999999999995E-2</v>
      </c>
      <c r="J29" s="86">
        <v>0</v>
      </c>
      <c r="K29" s="86">
        <v>7.3999999999999996E-2</v>
      </c>
      <c r="L29" s="98" t="s">
        <v>204</v>
      </c>
      <c r="M29" s="88" t="s">
        <v>192</v>
      </c>
      <c r="N29" s="88" t="s">
        <v>201</v>
      </c>
      <c r="O29" s="85" t="s">
        <v>205</v>
      </c>
      <c r="P29" s="90"/>
      <c r="Q29" s="34">
        <v>3</v>
      </c>
      <c r="R29" s="33">
        <v>1</v>
      </c>
      <c r="S29" s="33">
        <v>1</v>
      </c>
      <c r="T29" s="33">
        <v>2</v>
      </c>
      <c r="U29" s="34">
        <v>2</v>
      </c>
      <c r="V29" s="35">
        <f t="shared" si="2"/>
        <v>1.8</v>
      </c>
      <c r="W29" s="33">
        <v>5</v>
      </c>
      <c r="X29" s="36">
        <f t="shared" si="3"/>
        <v>1.8</v>
      </c>
      <c r="Y29" s="67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</row>
    <row r="30" spans="1:40" s="4" customFormat="1" x14ac:dyDescent="0.2">
      <c r="A30" s="3"/>
      <c r="B30" s="85" t="s">
        <v>25</v>
      </c>
      <c r="C30" s="86" t="s">
        <v>24</v>
      </c>
      <c r="D30" s="87" t="s">
        <v>26</v>
      </c>
      <c r="E30" s="88" t="s">
        <v>19</v>
      </c>
      <c r="F30" s="86">
        <v>2012</v>
      </c>
      <c r="G30" s="86" t="s">
        <v>262</v>
      </c>
      <c r="H30" s="86">
        <v>8.5000000000000006E-2</v>
      </c>
      <c r="I30" s="86">
        <v>0.182</v>
      </c>
      <c r="J30" s="86">
        <v>0</v>
      </c>
      <c r="K30" s="86">
        <v>0.126</v>
      </c>
      <c r="L30" s="99" t="s">
        <v>196</v>
      </c>
      <c r="M30" s="88" t="s">
        <v>197</v>
      </c>
      <c r="N30" s="88" t="s">
        <v>201</v>
      </c>
      <c r="O30" s="85" t="s">
        <v>210</v>
      </c>
      <c r="P30" s="90"/>
      <c r="Q30" s="34">
        <v>4</v>
      </c>
      <c r="R30" s="33">
        <v>1</v>
      </c>
      <c r="S30" s="33">
        <v>1</v>
      </c>
      <c r="T30" s="33">
        <v>4</v>
      </c>
      <c r="U30" s="34">
        <v>4</v>
      </c>
      <c r="V30" s="35">
        <f t="shared" si="2"/>
        <v>2.8</v>
      </c>
      <c r="W30" s="33">
        <v>5</v>
      </c>
      <c r="X30" s="36">
        <f t="shared" si="3"/>
        <v>2.8000000000000003</v>
      </c>
      <c r="Y30" s="67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</row>
    <row r="31" spans="1:40" s="4" customFormat="1" x14ac:dyDescent="0.2">
      <c r="A31" s="3"/>
      <c r="B31" s="61" t="s">
        <v>34</v>
      </c>
      <c r="C31" s="96" t="s">
        <v>35</v>
      </c>
      <c r="D31" s="61" t="s">
        <v>34</v>
      </c>
      <c r="E31" s="77" t="s">
        <v>19</v>
      </c>
      <c r="F31" s="96">
        <v>2012</v>
      </c>
      <c r="G31" s="96" t="s">
        <v>262</v>
      </c>
      <c r="H31" s="96">
        <v>0</v>
      </c>
      <c r="I31" s="96">
        <v>0</v>
      </c>
      <c r="J31" s="96">
        <v>1.6E-2</v>
      </c>
      <c r="K31" s="96">
        <v>0</v>
      </c>
      <c r="L31" s="75" t="s">
        <v>214</v>
      </c>
      <c r="M31" s="77" t="s">
        <v>29</v>
      </c>
      <c r="N31" s="77" t="s">
        <v>193</v>
      </c>
      <c r="O31" s="61"/>
      <c r="P31" s="90"/>
      <c r="Q31" s="34">
        <v>1</v>
      </c>
      <c r="R31" s="33">
        <v>1</v>
      </c>
      <c r="S31" s="33">
        <v>4</v>
      </c>
      <c r="T31" s="33">
        <v>2</v>
      </c>
      <c r="U31" s="34">
        <v>2</v>
      </c>
      <c r="V31" s="35">
        <f t="shared" si="2"/>
        <v>2</v>
      </c>
      <c r="W31" s="33">
        <v>5</v>
      </c>
      <c r="X31" s="36">
        <f t="shared" si="3"/>
        <v>2</v>
      </c>
      <c r="Y31" s="67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</row>
    <row r="32" spans="1:40" s="4" customFormat="1" x14ac:dyDescent="0.2">
      <c r="A32" s="3"/>
      <c r="B32" s="87" t="s">
        <v>30</v>
      </c>
      <c r="C32" s="86" t="s">
        <v>20</v>
      </c>
      <c r="D32" s="87" t="s">
        <v>30</v>
      </c>
      <c r="E32" s="88" t="s">
        <v>19</v>
      </c>
      <c r="F32" s="86">
        <v>2012</v>
      </c>
      <c r="G32" s="86" t="s">
        <v>262</v>
      </c>
      <c r="H32" s="86">
        <v>0</v>
      </c>
      <c r="I32" s="86">
        <v>0</v>
      </c>
      <c r="J32" s="86">
        <v>0.153</v>
      </c>
      <c r="K32" s="86">
        <v>0</v>
      </c>
      <c r="L32" s="89" t="s">
        <v>217</v>
      </c>
      <c r="M32" s="88" t="s">
        <v>29</v>
      </c>
      <c r="N32" s="88" t="s">
        <v>201</v>
      </c>
      <c r="O32" s="85" t="s">
        <v>202</v>
      </c>
      <c r="P32" s="91"/>
      <c r="Q32" s="33">
        <v>1</v>
      </c>
      <c r="R32" s="33">
        <v>1</v>
      </c>
      <c r="S32" s="33">
        <v>4</v>
      </c>
      <c r="T32" s="33">
        <v>2</v>
      </c>
      <c r="U32" s="33">
        <v>2</v>
      </c>
      <c r="V32" s="44">
        <f t="shared" si="2"/>
        <v>2</v>
      </c>
      <c r="W32" s="33">
        <v>5</v>
      </c>
      <c r="X32" s="36">
        <f t="shared" si="3"/>
        <v>2</v>
      </c>
      <c r="Y32" s="67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</row>
    <row r="33" spans="1:36" s="4" customFormat="1" ht="15" customHeight="1" x14ac:dyDescent="0.2">
      <c r="A33" s="3"/>
      <c r="B33" s="429" t="s">
        <v>17</v>
      </c>
      <c r="C33" s="96" t="s">
        <v>20</v>
      </c>
      <c r="D33" s="61" t="s">
        <v>18</v>
      </c>
      <c r="E33" s="77" t="s">
        <v>19</v>
      </c>
      <c r="F33" s="96">
        <v>2006</v>
      </c>
      <c r="G33" s="96" t="s">
        <v>262</v>
      </c>
      <c r="H33" s="96">
        <v>2E-3</v>
      </c>
      <c r="I33" s="96">
        <v>4.4999999999999997E-3</v>
      </c>
      <c r="J33" s="96">
        <v>0</v>
      </c>
      <c r="K33" s="96">
        <v>2E-3</v>
      </c>
      <c r="L33" s="75" t="s">
        <v>227</v>
      </c>
      <c r="M33" s="77" t="s">
        <v>29</v>
      </c>
      <c r="N33" s="77" t="s">
        <v>193</v>
      </c>
      <c r="O33" s="61"/>
      <c r="P33" s="90"/>
      <c r="Q33" s="34">
        <v>3</v>
      </c>
      <c r="R33" s="33">
        <v>3</v>
      </c>
      <c r="S33" s="33">
        <v>4</v>
      </c>
      <c r="T33" s="33">
        <v>3</v>
      </c>
      <c r="U33" s="34">
        <v>3</v>
      </c>
      <c r="V33" s="35">
        <f t="shared" si="2"/>
        <v>3.2</v>
      </c>
      <c r="W33" s="33">
        <v>5</v>
      </c>
      <c r="X33" s="36">
        <f t="shared" si="3"/>
        <v>3.1999999999999997</v>
      </c>
      <c r="Y33" s="67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</row>
    <row r="34" spans="1:36" s="4" customFormat="1" x14ac:dyDescent="0.2">
      <c r="A34" s="3"/>
      <c r="B34" s="429"/>
      <c r="C34" s="96" t="s">
        <v>20</v>
      </c>
      <c r="D34" s="61" t="s">
        <v>21</v>
      </c>
      <c r="E34" s="77" t="s">
        <v>19</v>
      </c>
      <c r="F34" s="96">
        <v>2012</v>
      </c>
      <c r="G34" s="96" t="s">
        <v>262</v>
      </c>
      <c r="H34" s="100">
        <v>2E-3</v>
      </c>
      <c r="I34" s="100">
        <v>4.4999999999999997E-3</v>
      </c>
      <c r="J34" s="100">
        <v>0</v>
      </c>
      <c r="K34" s="100">
        <v>2E-3</v>
      </c>
      <c r="L34" s="75" t="s">
        <v>232</v>
      </c>
      <c r="M34" s="77" t="s">
        <v>29</v>
      </c>
      <c r="N34" s="77" t="s">
        <v>193</v>
      </c>
      <c r="O34" s="61"/>
      <c r="P34" s="90"/>
      <c r="Q34" s="34">
        <v>1</v>
      </c>
      <c r="R34" s="33">
        <v>1</v>
      </c>
      <c r="S34" s="33">
        <v>4</v>
      </c>
      <c r="T34" s="33">
        <v>2</v>
      </c>
      <c r="U34" s="34">
        <v>1</v>
      </c>
      <c r="V34" s="35">
        <f t="shared" si="2"/>
        <v>1.8</v>
      </c>
      <c r="W34" s="33">
        <v>5</v>
      </c>
      <c r="X34" s="36">
        <f t="shared" si="3"/>
        <v>1.8</v>
      </c>
      <c r="Y34" s="67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</row>
    <row r="35" spans="1:36" ht="13.7" customHeight="1" x14ac:dyDescent="0.2">
      <c r="B35" s="61" t="s">
        <v>264</v>
      </c>
      <c r="C35" s="96" t="s">
        <v>24</v>
      </c>
      <c r="D35" s="61" t="s">
        <v>137</v>
      </c>
      <c r="E35" s="96">
        <v>2012</v>
      </c>
      <c r="F35" s="96" t="s">
        <v>262</v>
      </c>
      <c r="G35" s="96" t="s">
        <v>262</v>
      </c>
      <c r="H35" s="96">
        <v>0</v>
      </c>
      <c r="I35" s="96">
        <v>0</v>
      </c>
      <c r="J35" s="96">
        <v>9.4E-2</v>
      </c>
      <c r="K35" s="96">
        <v>0</v>
      </c>
      <c r="L35" s="97" t="s">
        <v>242</v>
      </c>
      <c r="M35" s="116" t="s">
        <v>24</v>
      </c>
      <c r="N35" s="77" t="s">
        <v>193</v>
      </c>
      <c r="O35" s="126"/>
    </row>
    <row r="36" spans="1:36" s="4" customFormat="1" x14ac:dyDescent="0.2">
      <c r="A36" s="3"/>
      <c r="B36" s="61" t="s">
        <v>33</v>
      </c>
      <c r="C36" s="96" t="s">
        <v>32</v>
      </c>
      <c r="D36" s="61" t="s">
        <v>33</v>
      </c>
      <c r="E36" s="77" t="s">
        <v>19</v>
      </c>
      <c r="F36" s="96">
        <v>2012</v>
      </c>
      <c r="G36" s="96" t="s">
        <v>262</v>
      </c>
      <c r="H36" s="100">
        <v>0</v>
      </c>
      <c r="I36" s="100">
        <v>0</v>
      </c>
      <c r="J36" s="100">
        <v>8.1000000000000003E-2</v>
      </c>
      <c r="K36" s="100">
        <v>0</v>
      </c>
      <c r="L36" s="75" t="s">
        <v>231</v>
      </c>
      <c r="M36" s="77" t="s">
        <v>192</v>
      </c>
      <c r="N36" s="77" t="s">
        <v>193</v>
      </c>
      <c r="O36" s="61"/>
      <c r="P36" s="90"/>
      <c r="Q36" s="34">
        <v>3</v>
      </c>
      <c r="R36" s="33">
        <v>1</v>
      </c>
      <c r="S36" s="33">
        <v>4</v>
      </c>
      <c r="T36" s="33">
        <v>3</v>
      </c>
      <c r="U36" s="34">
        <v>3</v>
      </c>
      <c r="V36" s="35">
        <f t="shared" ref="V36" si="4">AVERAGE(Q36:U36)</f>
        <v>2.8</v>
      </c>
      <c r="W36" s="33">
        <v>5</v>
      </c>
      <c r="X36" s="36">
        <f t="shared" ref="X36:X68" si="5">AVERAGE(Q36:V36)</f>
        <v>2.8000000000000003</v>
      </c>
      <c r="Y36" s="67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</row>
    <row r="37" spans="1:36" s="4" customFormat="1" x14ac:dyDescent="0.2">
      <c r="A37" s="3"/>
      <c r="B37" s="94" t="s">
        <v>36</v>
      </c>
      <c r="C37" s="95"/>
      <c r="D37" s="95"/>
      <c r="E37" s="95"/>
      <c r="F37" s="95"/>
      <c r="G37" s="95"/>
      <c r="H37" s="118"/>
      <c r="I37" s="118"/>
      <c r="J37" s="118"/>
      <c r="K37" s="118"/>
      <c r="L37" s="101"/>
      <c r="M37" s="117"/>
      <c r="N37" s="117"/>
      <c r="O37" s="127"/>
      <c r="P37" s="42"/>
      <c r="Q37" s="42"/>
      <c r="R37" s="42"/>
      <c r="S37" s="42"/>
      <c r="T37" s="42"/>
      <c r="U37" s="42"/>
      <c r="V37" s="42"/>
      <c r="W37" s="42"/>
      <c r="X37" s="43"/>
      <c r="Y37" s="67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</row>
    <row r="38" spans="1:36" s="4" customFormat="1" ht="14.45" customHeight="1" x14ac:dyDescent="0.2">
      <c r="A38" s="3"/>
      <c r="B38" s="417" t="s">
        <v>37</v>
      </c>
      <c r="C38" s="32" t="s">
        <v>24</v>
      </c>
      <c r="D38" s="31" t="s">
        <v>38</v>
      </c>
      <c r="E38" s="33" t="s">
        <v>19</v>
      </c>
      <c r="F38" s="32">
        <v>2011</v>
      </c>
      <c r="G38" s="32" t="s">
        <v>263</v>
      </c>
      <c r="H38" s="32" t="s">
        <v>198</v>
      </c>
      <c r="I38" s="32" t="s">
        <v>198</v>
      </c>
      <c r="J38" s="32" t="s">
        <v>198</v>
      </c>
      <c r="K38" s="72" t="s">
        <v>198</v>
      </c>
      <c r="L38" s="61" t="s">
        <v>38</v>
      </c>
      <c r="M38" s="77" t="s">
        <v>24</v>
      </c>
      <c r="N38" s="77" t="s">
        <v>193</v>
      </c>
      <c r="O38" s="61"/>
      <c r="P38" s="91"/>
      <c r="Q38" s="33">
        <v>2</v>
      </c>
      <c r="R38" s="33">
        <v>1</v>
      </c>
      <c r="S38" s="33">
        <v>1</v>
      </c>
      <c r="T38" s="33">
        <v>2</v>
      </c>
      <c r="U38" s="34">
        <v>2</v>
      </c>
      <c r="V38" s="35">
        <f t="shared" ref="V38:V53" si="6">AVERAGE(Q38:U38)</f>
        <v>1.6</v>
      </c>
      <c r="W38" s="33">
        <v>5</v>
      </c>
      <c r="X38" s="36">
        <f t="shared" si="5"/>
        <v>1.5999999999999999</v>
      </c>
      <c r="Y38" s="67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</row>
    <row r="39" spans="1:36" s="4" customFormat="1" x14ac:dyDescent="0.2">
      <c r="A39" s="3"/>
      <c r="B39" s="418"/>
      <c r="C39" s="32" t="s">
        <v>20</v>
      </c>
      <c r="D39" s="31" t="s">
        <v>39</v>
      </c>
      <c r="E39" s="33" t="s">
        <v>19</v>
      </c>
      <c r="F39" s="32">
        <v>2012</v>
      </c>
      <c r="G39" s="32" t="s">
        <v>262</v>
      </c>
      <c r="H39" s="409">
        <v>0.128</v>
      </c>
      <c r="I39" s="409">
        <v>0.36399999999999999</v>
      </c>
      <c r="J39" s="409">
        <v>0</v>
      </c>
      <c r="K39" s="412">
        <v>0.23700000000000002</v>
      </c>
      <c r="L39" s="75" t="s">
        <v>215</v>
      </c>
      <c r="M39" s="77" t="s">
        <v>29</v>
      </c>
      <c r="N39" s="77" t="s">
        <v>193</v>
      </c>
      <c r="O39" s="61"/>
      <c r="P39" s="91"/>
      <c r="Q39" s="33">
        <v>4</v>
      </c>
      <c r="R39" s="33">
        <v>1</v>
      </c>
      <c r="S39" s="33">
        <v>4</v>
      </c>
      <c r="T39" s="33">
        <v>4</v>
      </c>
      <c r="U39" s="33">
        <v>4</v>
      </c>
      <c r="V39" s="44">
        <f t="shared" si="6"/>
        <v>3.4</v>
      </c>
      <c r="W39" s="33">
        <v>5</v>
      </c>
      <c r="X39" s="36">
        <f t="shared" si="5"/>
        <v>3.4</v>
      </c>
      <c r="Y39" s="67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</row>
    <row r="40" spans="1:36" s="4" customFormat="1" x14ac:dyDescent="0.2">
      <c r="A40" s="3"/>
      <c r="B40" s="418"/>
      <c r="C40" s="32" t="s">
        <v>20</v>
      </c>
      <c r="D40" s="31" t="s">
        <v>40</v>
      </c>
      <c r="E40" s="33" t="s">
        <v>19</v>
      </c>
      <c r="F40" s="32">
        <v>2012</v>
      </c>
      <c r="G40" s="32" t="s">
        <v>262</v>
      </c>
      <c r="H40" s="410"/>
      <c r="I40" s="410"/>
      <c r="J40" s="410"/>
      <c r="K40" s="413"/>
      <c r="L40" s="75" t="s">
        <v>218</v>
      </c>
      <c r="M40" s="77" t="s">
        <v>197</v>
      </c>
      <c r="N40" s="77" t="s">
        <v>193</v>
      </c>
      <c r="O40" s="61"/>
      <c r="P40" s="91"/>
      <c r="Q40" s="33">
        <v>2</v>
      </c>
      <c r="R40" s="33">
        <v>1</v>
      </c>
      <c r="S40" s="33">
        <v>4</v>
      </c>
      <c r="T40" s="33">
        <v>2</v>
      </c>
      <c r="U40" s="33">
        <v>2</v>
      </c>
      <c r="V40" s="44">
        <f t="shared" si="6"/>
        <v>2.2000000000000002</v>
      </c>
      <c r="W40" s="33">
        <v>5</v>
      </c>
      <c r="X40" s="36">
        <f t="shared" si="5"/>
        <v>2.1999999999999997</v>
      </c>
      <c r="Y40" s="67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</row>
    <row r="41" spans="1:36" s="4" customFormat="1" x14ac:dyDescent="0.2">
      <c r="A41" s="3"/>
      <c r="B41" s="418"/>
      <c r="C41" s="32" t="s">
        <v>32</v>
      </c>
      <c r="D41" s="31" t="s">
        <v>41</v>
      </c>
      <c r="E41" s="33" t="s">
        <v>19</v>
      </c>
      <c r="F41" s="32">
        <v>2012</v>
      </c>
      <c r="G41" s="32" t="s">
        <v>262</v>
      </c>
      <c r="H41" s="410"/>
      <c r="I41" s="410"/>
      <c r="J41" s="410"/>
      <c r="K41" s="413"/>
      <c r="L41" s="75" t="s">
        <v>230</v>
      </c>
      <c r="M41" s="77" t="s">
        <v>197</v>
      </c>
      <c r="N41" s="77" t="s">
        <v>193</v>
      </c>
      <c r="O41" s="61"/>
      <c r="P41" s="91"/>
      <c r="Q41" s="33">
        <v>1</v>
      </c>
      <c r="R41" s="33">
        <v>1</v>
      </c>
      <c r="S41" s="33">
        <v>4</v>
      </c>
      <c r="T41" s="33">
        <v>2</v>
      </c>
      <c r="U41" s="33">
        <v>2</v>
      </c>
      <c r="V41" s="44">
        <f t="shared" si="6"/>
        <v>2</v>
      </c>
      <c r="W41" s="33">
        <v>5</v>
      </c>
      <c r="X41" s="36">
        <f t="shared" si="5"/>
        <v>2</v>
      </c>
      <c r="Y41" s="6"/>
      <c r="Z41" s="63"/>
      <c r="AA41" s="63"/>
      <c r="AB41" s="63"/>
      <c r="AC41" s="63"/>
      <c r="AD41" s="63"/>
      <c r="AE41" s="63"/>
      <c r="AF41" s="68"/>
      <c r="AG41" s="68"/>
      <c r="AH41" s="68"/>
      <c r="AI41" s="68"/>
      <c r="AJ41" s="68"/>
    </row>
    <row r="42" spans="1:36" s="4" customFormat="1" x14ac:dyDescent="0.2">
      <c r="A42" s="3"/>
      <c r="B42" s="418"/>
      <c r="C42" s="32" t="s">
        <v>32</v>
      </c>
      <c r="D42" s="31" t="s">
        <v>42</v>
      </c>
      <c r="E42" s="33" t="s">
        <v>19</v>
      </c>
      <c r="F42" s="32">
        <v>2012</v>
      </c>
      <c r="G42" s="32" t="s">
        <v>262</v>
      </c>
      <c r="H42" s="410"/>
      <c r="I42" s="410"/>
      <c r="J42" s="410"/>
      <c r="K42" s="413"/>
      <c r="L42" s="75" t="s">
        <v>233</v>
      </c>
      <c r="M42" s="77" t="s">
        <v>197</v>
      </c>
      <c r="N42" s="77" t="s">
        <v>193</v>
      </c>
      <c r="O42" s="61"/>
      <c r="P42" s="91"/>
      <c r="Q42" s="33">
        <v>3</v>
      </c>
      <c r="R42" s="33">
        <v>1</v>
      </c>
      <c r="S42" s="33">
        <v>4</v>
      </c>
      <c r="T42" s="33">
        <v>3</v>
      </c>
      <c r="U42" s="34">
        <v>3</v>
      </c>
      <c r="V42" s="35">
        <f t="shared" si="6"/>
        <v>2.8</v>
      </c>
      <c r="W42" s="33">
        <v>5</v>
      </c>
      <c r="X42" s="36">
        <f t="shared" si="5"/>
        <v>2.8000000000000003</v>
      </c>
      <c r="Y42" s="6"/>
      <c r="Z42" s="63"/>
      <c r="AA42" s="63"/>
      <c r="AB42" s="63"/>
      <c r="AC42" s="63"/>
      <c r="AD42" s="63"/>
      <c r="AE42" s="63"/>
      <c r="AF42" s="68"/>
      <c r="AG42" s="68"/>
      <c r="AH42" s="68"/>
      <c r="AI42" s="68"/>
      <c r="AJ42" s="68"/>
    </row>
    <row r="43" spans="1:36" s="4" customFormat="1" x14ac:dyDescent="0.2">
      <c r="A43" s="3"/>
      <c r="B43" s="418"/>
      <c r="C43" s="32" t="s">
        <v>29</v>
      </c>
      <c r="D43" s="49" t="s">
        <v>43</v>
      </c>
      <c r="E43" s="33" t="s">
        <v>19</v>
      </c>
      <c r="F43" s="32">
        <v>2012</v>
      </c>
      <c r="G43" s="32" t="s">
        <v>262</v>
      </c>
      <c r="H43" s="410"/>
      <c r="I43" s="410"/>
      <c r="J43" s="410"/>
      <c r="K43" s="413"/>
      <c r="L43" s="75" t="s">
        <v>212</v>
      </c>
      <c r="M43" s="77" t="s">
        <v>29</v>
      </c>
      <c r="N43" s="77" t="s">
        <v>193</v>
      </c>
      <c r="O43" s="61"/>
      <c r="P43" s="91"/>
      <c r="Q43" s="33">
        <v>3</v>
      </c>
      <c r="R43" s="33">
        <v>1</v>
      </c>
      <c r="S43" s="33">
        <v>2</v>
      </c>
      <c r="T43" s="33">
        <v>3</v>
      </c>
      <c r="U43" s="34">
        <v>3</v>
      </c>
      <c r="V43" s="35">
        <f t="shared" si="6"/>
        <v>2.4</v>
      </c>
      <c r="W43" s="33">
        <v>5</v>
      </c>
      <c r="X43" s="36">
        <f t="shared" si="5"/>
        <v>2.4</v>
      </c>
      <c r="Y43" s="6"/>
      <c r="Z43" s="63"/>
      <c r="AA43" s="63"/>
      <c r="AB43" s="63"/>
      <c r="AC43" s="63"/>
      <c r="AD43" s="63"/>
      <c r="AE43" s="63"/>
      <c r="AF43" s="68"/>
      <c r="AG43" s="68"/>
      <c r="AH43" s="68"/>
      <c r="AI43" s="68"/>
      <c r="AJ43" s="68"/>
    </row>
    <row r="44" spans="1:36" s="4" customFormat="1" x14ac:dyDescent="0.2">
      <c r="A44" s="3"/>
      <c r="B44" s="419"/>
      <c r="C44" s="80" t="s">
        <v>29</v>
      </c>
      <c r="D44" s="81" t="s">
        <v>44</v>
      </c>
      <c r="E44" s="82" t="s">
        <v>28</v>
      </c>
      <c r="F44" s="80">
        <v>2012</v>
      </c>
      <c r="G44" s="80" t="s">
        <v>262</v>
      </c>
      <c r="H44" s="411"/>
      <c r="I44" s="411"/>
      <c r="J44" s="411"/>
      <c r="K44" s="414"/>
      <c r="L44" s="89" t="s">
        <v>200</v>
      </c>
      <c r="M44" s="88" t="s">
        <v>29</v>
      </c>
      <c r="N44" s="88" t="s">
        <v>201</v>
      </c>
      <c r="O44" s="85" t="s">
        <v>202</v>
      </c>
      <c r="P44" s="91"/>
      <c r="Q44" s="33">
        <v>3</v>
      </c>
      <c r="R44" s="33">
        <v>1</v>
      </c>
      <c r="S44" s="33">
        <v>4</v>
      </c>
      <c r="T44" s="33">
        <v>3</v>
      </c>
      <c r="U44" s="33">
        <v>3</v>
      </c>
      <c r="V44" s="44">
        <f t="shared" si="6"/>
        <v>2.8</v>
      </c>
      <c r="W44" s="33">
        <v>5</v>
      </c>
      <c r="X44" s="36">
        <f t="shared" si="5"/>
        <v>2.8000000000000003</v>
      </c>
      <c r="Y44" s="6"/>
      <c r="Z44" s="63"/>
      <c r="AA44" s="63"/>
      <c r="AB44" s="63"/>
      <c r="AC44" s="63"/>
      <c r="AD44" s="63"/>
      <c r="AE44" s="63"/>
      <c r="AF44" s="68"/>
      <c r="AG44" s="68"/>
      <c r="AH44" s="68"/>
      <c r="AI44" s="68"/>
      <c r="AJ44" s="68"/>
    </row>
    <row r="45" spans="1:36" s="4" customFormat="1" ht="17.45" customHeight="1" x14ac:dyDescent="0.2">
      <c r="A45" s="3"/>
      <c r="B45" s="415" t="s">
        <v>17</v>
      </c>
      <c r="C45" s="32" t="s">
        <v>20</v>
      </c>
      <c r="D45" s="31" t="s">
        <v>18</v>
      </c>
      <c r="E45" s="33" t="s">
        <v>19</v>
      </c>
      <c r="F45" s="32">
        <v>2006</v>
      </c>
      <c r="G45" s="32" t="s">
        <v>262</v>
      </c>
      <c r="H45" s="32">
        <v>0</v>
      </c>
      <c r="I45" s="32">
        <v>0.09</v>
      </c>
      <c r="J45" s="32">
        <v>0</v>
      </c>
      <c r="K45" s="72">
        <v>1E-3</v>
      </c>
      <c r="L45" s="75" t="s">
        <v>227</v>
      </c>
      <c r="M45" s="77" t="s">
        <v>29</v>
      </c>
      <c r="N45" s="77" t="s">
        <v>193</v>
      </c>
      <c r="O45" s="61"/>
      <c r="P45" s="91"/>
      <c r="Q45" s="33">
        <v>3</v>
      </c>
      <c r="R45" s="33">
        <v>3</v>
      </c>
      <c r="S45" s="33">
        <v>4</v>
      </c>
      <c r="T45" s="33">
        <v>3</v>
      </c>
      <c r="U45" s="34">
        <v>3</v>
      </c>
      <c r="V45" s="35">
        <f t="shared" si="6"/>
        <v>3.2</v>
      </c>
      <c r="W45" s="33">
        <v>5</v>
      </c>
      <c r="X45" s="36">
        <f t="shared" si="5"/>
        <v>3.1999999999999997</v>
      </c>
      <c r="Y45" s="6"/>
      <c r="Z45" s="63"/>
      <c r="AA45" s="63"/>
      <c r="AB45" s="63"/>
      <c r="AC45" s="63"/>
      <c r="AD45" s="63"/>
      <c r="AE45" s="63"/>
      <c r="AF45" s="68"/>
      <c r="AG45" s="68"/>
      <c r="AH45" s="68"/>
      <c r="AI45" s="68"/>
      <c r="AJ45" s="68"/>
    </row>
    <row r="46" spans="1:36" s="4" customFormat="1" x14ac:dyDescent="0.2">
      <c r="A46" s="3"/>
      <c r="B46" s="416"/>
      <c r="C46" s="32" t="s">
        <v>20</v>
      </c>
      <c r="D46" s="31" t="s">
        <v>21</v>
      </c>
      <c r="E46" s="33" t="s">
        <v>19</v>
      </c>
      <c r="F46" s="32">
        <v>2012</v>
      </c>
      <c r="G46" s="32" t="s">
        <v>262</v>
      </c>
      <c r="H46" s="32">
        <v>0</v>
      </c>
      <c r="I46" s="32">
        <v>0.09</v>
      </c>
      <c r="J46" s="32">
        <v>0</v>
      </c>
      <c r="K46" s="72">
        <v>1E-3</v>
      </c>
      <c r="L46" s="75" t="s">
        <v>232</v>
      </c>
      <c r="M46" s="77" t="s">
        <v>29</v>
      </c>
      <c r="N46" s="77" t="s">
        <v>193</v>
      </c>
      <c r="O46" s="61"/>
      <c r="P46" s="91"/>
      <c r="Q46" s="33">
        <v>1</v>
      </c>
      <c r="R46" s="33">
        <v>1</v>
      </c>
      <c r="S46" s="33">
        <v>4</v>
      </c>
      <c r="T46" s="33">
        <v>2</v>
      </c>
      <c r="U46" s="34">
        <v>1</v>
      </c>
      <c r="V46" s="35">
        <f t="shared" si="6"/>
        <v>1.8</v>
      </c>
      <c r="W46" s="33">
        <v>5</v>
      </c>
      <c r="X46" s="36">
        <f t="shared" si="5"/>
        <v>1.8</v>
      </c>
      <c r="Y46" s="6"/>
      <c r="Z46" s="63"/>
      <c r="AA46" s="63"/>
      <c r="AB46" s="63"/>
      <c r="AC46" s="63"/>
      <c r="AD46" s="63"/>
      <c r="AE46" s="63"/>
      <c r="AF46" s="68"/>
      <c r="AG46" s="68"/>
      <c r="AH46" s="68"/>
      <c r="AI46" s="68"/>
      <c r="AJ46" s="68"/>
    </row>
    <row r="47" spans="1:36" s="4" customFormat="1" x14ac:dyDescent="0.2">
      <c r="A47" s="3"/>
      <c r="B47" s="31" t="s">
        <v>45</v>
      </c>
      <c r="C47" s="32" t="s">
        <v>20</v>
      </c>
      <c r="D47" s="31" t="s">
        <v>46</v>
      </c>
      <c r="E47" s="33" t="s">
        <v>19</v>
      </c>
      <c r="F47" s="32">
        <v>2012</v>
      </c>
      <c r="G47" s="32" t="s">
        <v>262</v>
      </c>
      <c r="H47" s="32">
        <v>4.0000000000000001E-3</v>
      </c>
      <c r="I47" s="32">
        <v>8.9999999999999993E-3</v>
      </c>
      <c r="J47" s="32">
        <v>0</v>
      </c>
      <c r="K47" s="72">
        <v>1.2E-2</v>
      </c>
      <c r="L47" s="97" t="s">
        <v>196</v>
      </c>
      <c r="M47" s="77" t="s">
        <v>197</v>
      </c>
      <c r="N47" s="77" t="s">
        <v>193</v>
      </c>
      <c r="O47" s="61"/>
      <c r="P47" s="91"/>
      <c r="Q47" s="33">
        <v>1</v>
      </c>
      <c r="R47" s="33">
        <v>1</v>
      </c>
      <c r="S47" s="33">
        <v>4</v>
      </c>
      <c r="T47" s="33">
        <v>2</v>
      </c>
      <c r="U47" s="34">
        <v>2</v>
      </c>
      <c r="V47" s="35">
        <f t="shared" si="6"/>
        <v>2</v>
      </c>
      <c r="W47" s="33">
        <v>5</v>
      </c>
      <c r="X47" s="36">
        <f t="shared" si="5"/>
        <v>2</v>
      </c>
      <c r="Y47" s="6"/>
      <c r="Z47" s="63"/>
      <c r="AA47" s="63"/>
      <c r="AB47" s="63"/>
      <c r="AC47" s="63"/>
      <c r="AD47" s="63"/>
      <c r="AE47" s="63"/>
      <c r="AF47" s="68"/>
      <c r="AG47" s="68"/>
      <c r="AH47" s="68"/>
      <c r="AI47" s="68"/>
      <c r="AJ47" s="68"/>
    </row>
    <row r="48" spans="1:36" s="4" customFormat="1" x14ac:dyDescent="0.2">
      <c r="A48" s="3"/>
      <c r="B48" s="81" t="s">
        <v>47</v>
      </c>
      <c r="C48" s="80" t="s">
        <v>29</v>
      </c>
      <c r="D48" s="81" t="s">
        <v>47</v>
      </c>
      <c r="E48" s="82" t="s">
        <v>28</v>
      </c>
      <c r="F48" s="80">
        <v>2012</v>
      </c>
      <c r="G48" s="80" t="s">
        <v>262</v>
      </c>
      <c r="H48" s="80">
        <v>0</v>
      </c>
      <c r="I48" s="80">
        <v>0</v>
      </c>
      <c r="J48" s="80">
        <v>1.2999999999999999E-2</v>
      </c>
      <c r="K48" s="102">
        <v>0</v>
      </c>
      <c r="L48" s="89" t="s">
        <v>200</v>
      </c>
      <c r="M48" s="88" t="s">
        <v>29</v>
      </c>
      <c r="N48" s="88" t="s">
        <v>201</v>
      </c>
      <c r="O48" s="85" t="s">
        <v>202</v>
      </c>
      <c r="P48" s="91"/>
      <c r="Q48" s="33">
        <v>1</v>
      </c>
      <c r="R48" s="33">
        <v>1</v>
      </c>
      <c r="S48" s="33">
        <v>4</v>
      </c>
      <c r="T48" s="33">
        <v>2</v>
      </c>
      <c r="U48" s="33">
        <v>2</v>
      </c>
      <c r="V48" s="44">
        <f t="shared" si="6"/>
        <v>2</v>
      </c>
      <c r="W48" s="33">
        <v>5</v>
      </c>
      <c r="X48" s="36">
        <f t="shared" si="5"/>
        <v>2</v>
      </c>
      <c r="Y48" s="6"/>
      <c r="Z48" s="63"/>
      <c r="AA48" s="63"/>
      <c r="AB48" s="63"/>
      <c r="AC48" s="63"/>
      <c r="AD48" s="63"/>
      <c r="AE48" s="63"/>
      <c r="AF48" s="68"/>
      <c r="AG48" s="68"/>
      <c r="AH48" s="68"/>
      <c r="AI48" s="68"/>
      <c r="AJ48" s="68"/>
    </row>
    <row r="49" spans="1:36" s="4" customFormat="1" x14ac:dyDescent="0.2">
      <c r="A49" s="3"/>
      <c r="B49" s="81" t="s">
        <v>30</v>
      </c>
      <c r="C49" s="80" t="s">
        <v>20</v>
      </c>
      <c r="D49" s="81" t="s">
        <v>30</v>
      </c>
      <c r="E49" s="82" t="s">
        <v>19</v>
      </c>
      <c r="F49" s="80">
        <v>2012</v>
      </c>
      <c r="G49" s="80" t="s">
        <v>262</v>
      </c>
      <c r="H49" s="80">
        <v>0</v>
      </c>
      <c r="I49" s="80">
        <v>0</v>
      </c>
      <c r="J49" s="80">
        <v>0.16900000000000001</v>
      </c>
      <c r="K49" s="80">
        <v>0</v>
      </c>
      <c r="L49" s="14" t="s">
        <v>217</v>
      </c>
      <c r="M49" s="11" t="s">
        <v>29</v>
      </c>
      <c r="N49" s="11" t="s">
        <v>201</v>
      </c>
      <c r="O49" s="128" t="s">
        <v>202</v>
      </c>
      <c r="P49" s="33"/>
      <c r="Q49" s="33">
        <v>1</v>
      </c>
      <c r="R49" s="33">
        <v>1</v>
      </c>
      <c r="S49" s="33">
        <v>4</v>
      </c>
      <c r="T49" s="33">
        <v>2</v>
      </c>
      <c r="U49" s="33">
        <v>2</v>
      </c>
      <c r="V49" s="44">
        <f t="shared" si="6"/>
        <v>2</v>
      </c>
      <c r="W49" s="33">
        <v>5</v>
      </c>
      <c r="X49" s="36">
        <f t="shared" si="5"/>
        <v>2</v>
      </c>
      <c r="Y49" s="6"/>
      <c r="Z49" s="63"/>
      <c r="AA49" s="63"/>
      <c r="AB49" s="63"/>
      <c r="AC49" s="63"/>
      <c r="AD49" s="63"/>
      <c r="AE49" s="63"/>
      <c r="AF49" s="68"/>
      <c r="AG49" s="68"/>
      <c r="AH49" s="68"/>
      <c r="AI49" s="68"/>
      <c r="AJ49" s="68"/>
    </row>
    <row r="50" spans="1:36" s="4" customFormat="1" x14ac:dyDescent="0.2">
      <c r="A50" s="3"/>
      <c r="B50" s="31" t="s">
        <v>31</v>
      </c>
      <c r="C50" s="32" t="s">
        <v>32</v>
      </c>
      <c r="D50" s="31" t="s">
        <v>31</v>
      </c>
      <c r="E50" s="33" t="s">
        <v>19</v>
      </c>
      <c r="F50" s="32">
        <v>2012</v>
      </c>
      <c r="G50" s="32" t="s">
        <v>262</v>
      </c>
      <c r="H50" s="32">
        <v>7.0999999999999994E-2</v>
      </c>
      <c r="I50" s="32">
        <v>3.5999999999999997E-2</v>
      </c>
      <c r="J50" s="32">
        <v>0</v>
      </c>
      <c r="K50" s="72">
        <v>4.4999999999999998E-2</v>
      </c>
      <c r="L50" s="97" t="s">
        <v>31</v>
      </c>
      <c r="M50" s="77" t="s">
        <v>192</v>
      </c>
      <c r="N50" s="77" t="s">
        <v>193</v>
      </c>
      <c r="O50" s="58"/>
      <c r="P50" s="33"/>
      <c r="Q50" s="33">
        <v>3</v>
      </c>
      <c r="R50" s="33">
        <v>1</v>
      </c>
      <c r="S50" s="33">
        <v>4</v>
      </c>
      <c r="T50" s="33">
        <v>3</v>
      </c>
      <c r="U50" s="34">
        <v>3</v>
      </c>
      <c r="V50" s="35">
        <f t="shared" si="6"/>
        <v>2.8</v>
      </c>
      <c r="W50" s="33">
        <v>5</v>
      </c>
      <c r="X50" s="36">
        <f t="shared" si="5"/>
        <v>2.8000000000000003</v>
      </c>
      <c r="Y50" s="67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</row>
    <row r="51" spans="1:36" s="4" customFormat="1" x14ac:dyDescent="0.2">
      <c r="A51" s="3"/>
      <c r="B51" s="31" t="s">
        <v>33</v>
      </c>
      <c r="C51" s="32" t="s">
        <v>32</v>
      </c>
      <c r="D51" s="31" t="s">
        <v>33</v>
      </c>
      <c r="E51" s="33" t="s">
        <v>19</v>
      </c>
      <c r="F51" s="32">
        <v>2012</v>
      </c>
      <c r="G51" s="32" t="s">
        <v>262</v>
      </c>
      <c r="H51" s="32">
        <v>0</v>
      </c>
      <c r="I51" s="32">
        <v>0</v>
      </c>
      <c r="J51" s="32">
        <v>2.3E-2</v>
      </c>
      <c r="K51" s="72">
        <v>0</v>
      </c>
      <c r="L51" s="75" t="s">
        <v>231</v>
      </c>
      <c r="M51" s="77" t="s">
        <v>192</v>
      </c>
      <c r="N51" s="77" t="s">
        <v>193</v>
      </c>
      <c r="O51" s="58"/>
      <c r="P51" s="33"/>
      <c r="Q51" s="33">
        <v>3</v>
      </c>
      <c r="R51" s="33">
        <v>1</v>
      </c>
      <c r="S51" s="33">
        <v>4</v>
      </c>
      <c r="T51" s="33">
        <v>3</v>
      </c>
      <c r="U51" s="34">
        <v>3</v>
      </c>
      <c r="V51" s="35">
        <f t="shared" si="6"/>
        <v>2.8</v>
      </c>
      <c r="W51" s="33">
        <v>5</v>
      </c>
      <c r="X51" s="36">
        <f t="shared" si="5"/>
        <v>2.8000000000000003</v>
      </c>
      <c r="Y51" s="67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</row>
    <row r="52" spans="1:36" s="4" customFormat="1" x14ac:dyDescent="0.2">
      <c r="A52" s="3"/>
      <c r="B52" s="103" t="s">
        <v>48</v>
      </c>
      <c r="C52" s="104" t="s">
        <v>29</v>
      </c>
      <c r="D52" s="103" t="s">
        <v>49</v>
      </c>
      <c r="E52" s="33" t="s">
        <v>50</v>
      </c>
      <c r="F52" s="32">
        <v>2007</v>
      </c>
      <c r="G52" s="32" t="s">
        <v>262</v>
      </c>
      <c r="H52" s="32" t="s">
        <v>198</v>
      </c>
      <c r="I52" s="32" t="s">
        <v>198</v>
      </c>
      <c r="J52" s="32" t="s">
        <v>198</v>
      </c>
      <c r="K52" s="32" t="s">
        <v>198</v>
      </c>
      <c r="L52" s="105" t="s">
        <v>198</v>
      </c>
      <c r="M52" s="106" t="s">
        <v>198</v>
      </c>
      <c r="N52" s="106" t="s">
        <v>198</v>
      </c>
      <c r="O52" s="74"/>
      <c r="P52" s="33"/>
      <c r="Q52" s="33">
        <v>1</v>
      </c>
      <c r="R52" s="33">
        <v>2</v>
      </c>
      <c r="S52" s="33">
        <v>2</v>
      </c>
      <c r="T52" s="33">
        <v>2</v>
      </c>
      <c r="U52" s="34">
        <v>1</v>
      </c>
      <c r="V52" s="35">
        <f t="shared" si="6"/>
        <v>1.6</v>
      </c>
      <c r="W52" s="33">
        <v>5</v>
      </c>
      <c r="X52" s="36">
        <f t="shared" si="5"/>
        <v>1.5999999999999999</v>
      </c>
      <c r="Y52" s="67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</row>
    <row r="53" spans="1:36" s="4" customFormat="1" x14ac:dyDescent="0.2">
      <c r="A53" s="3"/>
      <c r="B53" s="31" t="s">
        <v>51</v>
      </c>
      <c r="C53" s="32" t="s">
        <v>29</v>
      </c>
      <c r="D53" s="31" t="s">
        <v>52</v>
      </c>
      <c r="E53" s="33" t="s">
        <v>19</v>
      </c>
      <c r="F53" s="32">
        <v>2012</v>
      </c>
      <c r="G53" s="32" t="s">
        <v>262</v>
      </c>
      <c r="H53" s="32">
        <v>0</v>
      </c>
      <c r="I53" s="32">
        <v>0</v>
      </c>
      <c r="J53" s="32">
        <v>6.0000000000000001E-3</v>
      </c>
      <c r="K53" s="72">
        <v>0</v>
      </c>
      <c r="L53" s="75" t="s">
        <v>236</v>
      </c>
      <c r="M53" s="77" t="s">
        <v>29</v>
      </c>
      <c r="N53" s="77" t="s">
        <v>193</v>
      </c>
      <c r="O53" s="129" t="s">
        <v>237</v>
      </c>
      <c r="P53" s="91"/>
      <c r="Q53" s="33">
        <v>2</v>
      </c>
      <c r="R53" s="33">
        <v>1</v>
      </c>
      <c r="S53" s="33">
        <v>2</v>
      </c>
      <c r="T53" s="33">
        <v>2</v>
      </c>
      <c r="U53" s="34">
        <v>2</v>
      </c>
      <c r="V53" s="35">
        <f t="shared" si="6"/>
        <v>1.8</v>
      </c>
      <c r="W53" s="33">
        <v>5</v>
      </c>
      <c r="X53" s="36">
        <f t="shared" si="5"/>
        <v>1.8</v>
      </c>
      <c r="Y53" s="67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</row>
    <row r="54" spans="1:36" s="4" customFormat="1" x14ac:dyDescent="0.2">
      <c r="A54" s="3"/>
      <c r="B54" s="41" t="s">
        <v>53</v>
      </c>
      <c r="C54" s="42"/>
      <c r="D54" s="42"/>
      <c r="E54" s="42"/>
      <c r="F54" s="42"/>
      <c r="G54" s="42"/>
      <c r="H54" s="119"/>
      <c r="I54" s="119"/>
      <c r="J54" s="119"/>
      <c r="K54" s="119"/>
      <c r="L54" s="101"/>
      <c r="M54" s="117"/>
      <c r="N54" s="117"/>
      <c r="O54" s="130"/>
      <c r="P54" s="42"/>
      <c r="Q54" s="42"/>
      <c r="R54" s="42"/>
      <c r="S54" s="42"/>
      <c r="T54" s="42"/>
      <c r="U54" s="42"/>
      <c r="V54" s="42"/>
      <c r="W54" s="42"/>
      <c r="X54" s="43"/>
      <c r="Y54" s="67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</row>
    <row r="55" spans="1:36" s="4" customFormat="1" x14ac:dyDescent="0.2">
      <c r="A55" s="3"/>
      <c r="B55" s="417" t="s">
        <v>54</v>
      </c>
      <c r="C55" s="32" t="s">
        <v>20</v>
      </c>
      <c r="D55" s="31" t="s">
        <v>55</v>
      </c>
      <c r="E55" s="33" t="s">
        <v>19</v>
      </c>
      <c r="F55" s="50">
        <v>2012</v>
      </c>
      <c r="G55" s="50" t="s">
        <v>262</v>
      </c>
      <c r="H55" s="420">
        <v>8.2000000000000003E-2</v>
      </c>
      <c r="I55" s="420">
        <v>0.1</v>
      </c>
      <c r="J55" s="420">
        <v>0</v>
      </c>
      <c r="K55" s="423">
        <v>8.5999999999999993E-2</v>
      </c>
      <c r="L55" s="75" t="s">
        <v>208</v>
      </c>
      <c r="M55" s="77" t="s">
        <v>197</v>
      </c>
      <c r="N55" s="77" t="s">
        <v>193</v>
      </c>
      <c r="O55" s="131"/>
      <c r="P55" s="34"/>
      <c r="Q55" s="34">
        <v>2</v>
      </c>
      <c r="R55" s="33">
        <v>1</v>
      </c>
      <c r="S55" s="33">
        <v>4</v>
      </c>
      <c r="T55" s="33">
        <v>2</v>
      </c>
      <c r="U55" s="34">
        <v>2</v>
      </c>
      <c r="V55" s="35">
        <f t="shared" ref="V55:V63" si="7">AVERAGE(Q55:U55)</f>
        <v>2.2000000000000002</v>
      </c>
      <c r="W55" s="33">
        <v>5</v>
      </c>
      <c r="X55" s="36">
        <f t="shared" si="5"/>
        <v>2.1999999999999997</v>
      </c>
      <c r="Y55" s="67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</row>
    <row r="56" spans="1:36" s="4" customFormat="1" x14ac:dyDescent="0.2">
      <c r="A56" s="3"/>
      <c r="B56" s="418"/>
      <c r="C56" s="32" t="s">
        <v>20</v>
      </c>
      <c r="D56" s="31" t="s">
        <v>56</v>
      </c>
      <c r="E56" s="33" t="s">
        <v>19</v>
      </c>
      <c r="F56" s="50">
        <v>2012</v>
      </c>
      <c r="G56" s="50" t="s">
        <v>262</v>
      </c>
      <c r="H56" s="421"/>
      <c r="I56" s="421"/>
      <c r="J56" s="421"/>
      <c r="K56" s="424"/>
      <c r="L56" s="75" t="s">
        <v>209</v>
      </c>
      <c r="M56" s="77" t="s">
        <v>197</v>
      </c>
      <c r="N56" s="77" t="s">
        <v>193</v>
      </c>
      <c r="O56" s="131"/>
      <c r="P56" s="34"/>
      <c r="Q56" s="34">
        <v>2</v>
      </c>
      <c r="R56" s="33">
        <v>1</v>
      </c>
      <c r="S56" s="33">
        <v>4</v>
      </c>
      <c r="T56" s="33">
        <v>2</v>
      </c>
      <c r="U56" s="34">
        <v>2</v>
      </c>
      <c r="V56" s="35">
        <f t="shared" si="7"/>
        <v>2.2000000000000002</v>
      </c>
      <c r="W56" s="33">
        <v>5</v>
      </c>
      <c r="X56" s="36">
        <f t="shared" si="5"/>
        <v>2.1999999999999997</v>
      </c>
      <c r="Y56" s="67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</row>
    <row r="57" spans="1:36" s="4" customFormat="1" x14ac:dyDescent="0.2">
      <c r="A57" s="3"/>
      <c r="B57" s="418"/>
      <c r="C57" s="80" t="s">
        <v>20</v>
      </c>
      <c r="D57" s="81" t="s">
        <v>57</v>
      </c>
      <c r="E57" s="33" t="s">
        <v>19</v>
      </c>
      <c r="F57" s="50">
        <v>2006</v>
      </c>
      <c r="G57" s="50" t="s">
        <v>262</v>
      </c>
      <c r="H57" s="421"/>
      <c r="I57" s="421"/>
      <c r="J57" s="421"/>
      <c r="K57" s="424"/>
      <c r="L57" s="89" t="s">
        <v>229</v>
      </c>
      <c r="M57" s="88" t="s">
        <v>29</v>
      </c>
      <c r="N57" s="88" t="s">
        <v>201</v>
      </c>
      <c r="O57" s="131"/>
      <c r="P57" s="34"/>
      <c r="Q57" s="34">
        <v>3</v>
      </c>
      <c r="R57" s="33">
        <v>2</v>
      </c>
      <c r="S57" s="33">
        <v>4</v>
      </c>
      <c r="T57" s="33">
        <v>3</v>
      </c>
      <c r="U57" s="34">
        <v>3</v>
      </c>
      <c r="V57" s="35">
        <f t="shared" si="7"/>
        <v>3</v>
      </c>
      <c r="W57" s="33">
        <v>5</v>
      </c>
      <c r="X57" s="36">
        <f t="shared" si="5"/>
        <v>3</v>
      </c>
      <c r="Y57" s="67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</row>
    <row r="58" spans="1:36" s="4" customFormat="1" x14ac:dyDescent="0.2">
      <c r="A58" s="3"/>
      <c r="B58" s="419"/>
      <c r="C58" s="32" t="s">
        <v>20</v>
      </c>
      <c r="D58" s="31" t="s">
        <v>58</v>
      </c>
      <c r="E58" s="33" t="s">
        <v>19</v>
      </c>
      <c r="F58" s="50">
        <v>2012</v>
      </c>
      <c r="G58" s="50" t="s">
        <v>262</v>
      </c>
      <c r="H58" s="422"/>
      <c r="I58" s="422"/>
      <c r="J58" s="422"/>
      <c r="K58" s="425"/>
      <c r="L58" s="108" t="s">
        <v>208</v>
      </c>
      <c r="M58" s="109" t="s">
        <v>197</v>
      </c>
      <c r="N58" s="109" t="s">
        <v>193</v>
      </c>
      <c r="O58" s="132"/>
      <c r="P58" s="34"/>
      <c r="Q58" s="34">
        <v>2</v>
      </c>
      <c r="R58" s="33">
        <v>1</v>
      </c>
      <c r="S58" s="33">
        <v>4</v>
      </c>
      <c r="T58" s="33">
        <v>2</v>
      </c>
      <c r="U58" s="34">
        <v>2</v>
      </c>
      <c r="V58" s="35">
        <f t="shared" si="7"/>
        <v>2.2000000000000002</v>
      </c>
      <c r="W58" s="33">
        <v>5</v>
      </c>
      <c r="X58" s="36">
        <f t="shared" si="5"/>
        <v>2.1999999999999997</v>
      </c>
      <c r="Y58" s="6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</row>
    <row r="59" spans="1:36" s="4" customFormat="1" x14ac:dyDescent="0.2">
      <c r="A59" s="3"/>
      <c r="B59" s="51" t="s">
        <v>59</v>
      </c>
      <c r="C59" s="32" t="s">
        <v>20</v>
      </c>
      <c r="D59" s="31" t="s">
        <v>59</v>
      </c>
      <c r="E59" s="33" t="s">
        <v>19</v>
      </c>
      <c r="F59" s="50">
        <v>2012</v>
      </c>
      <c r="G59" s="50" t="s">
        <v>262</v>
      </c>
      <c r="H59" s="50">
        <v>0</v>
      </c>
      <c r="I59" s="50">
        <v>0</v>
      </c>
      <c r="J59" s="50">
        <v>1E-3</v>
      </c>
      <c r="K59" s="107">
        <v>0</v>
      </c>
      <c r="L59" s="75" t="s">
        <v>213</v>
      </c>
      <c r="M59" s="77" t="s">
        <v>29</v>
      </c>
      <c r="N59" s="77" t="s">
        <v>193</v>
      </c>
      <c r="O59" s="133"/>
      <c r="P59" s="90"/>
      <c r="Q59" s="34">
        <v>3</v>
      </c>
      <c r="R59" s="33">
        <v>1</v>
      </c>
      <c r="S59" s="33">
        <v>4</v>
      </c>
      <c r="T59" s="33">
        <v>2</v>
      </c>
      <c r="U59" s="34">
        <v>2</v>
      </c>
      <c r="V59" s="35">
        <f t="shared" si="7"/>
        <v>2.4</v>
      </c>
      <c r="W59" s="33">
        <v>5</v>
      </c>
      <c r="X59" s="36">
        <f t="shared" si="5"/>
        <v>2.4</v>
      </c>
      <c r="Y59" s="6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</row>
    <row r="60" spans="1:36" s="4" customFormat="1" ht="14.45" customHeight="1" x14ac:dyDescent="0.2">
      <c r="A60" s="3"/>
      <c r="B60" s="51" t="s">
        <v>60</v>
      </c>
      <c r="C60" s="50" t="s">
        <v>20</v>
      </c>
      <c r="D60" s="31" t="s">
        <v>61</v>
      </c>
      <c r="E60" s="33" t="s">
        <v>19</v>
      </c>
      <c r="F60" s="50">
        <v>2012</v>
      </c>
      <c r="G60" s="50" t="s">
        <v>262</v>
      </c>
      <c r="H60" s="50">
        <v>0</v>
      </c>
      <c r="I60" s="50">
        <v>0</v>
      </c>
      <c r="J60" s="50">
        <v>4.1000000000000002E-2</v>
      </c>
      <c r="K60" s="107">
        <v>0</v>
      </c>
      <c r="L60" s="75" t="s">
        <v>228</v>
      </c>
      <c r="M60" s="77" t="s">
        <v>29</v>
      </c>
      <c r="N60" s="77" t="s">
        <v>193</v>
      </c>
      <c r="O60" s="133"/>
      <c r="P60" s="90"/>
      <c r="Q60" s="34">
        <v>2</v>
      </c>
      <c r="R60" s="33">
        <v>1</v>
      </c>
      <c r="S60" s="33">
        <v>4</v>
      </c>
      <c r="T60" s="33">
        <v>2</v>
      </c>
      <c r="U60" s="34">
        <v>2</v>
      </c>
      <c r="V60" s="35">
        <f t="shared" si="7"/>
        <v>2.2000000000000002</v>
      </c>
      <c r="W60" s="33">
        <v>5</v>
      </c>
      <c r="X60" s="36">
        <f t="shared" si="5"/>
        <v>2.1999999999999997</v>
      </c>
      <c r="Y60" s="6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</row>
    <row r="61" spans="1:36" s="4" customFormat="1" ht="15" customHeight="1" x14ac:dyDescent="0.2">
      <c r="A61" s="3"/>
      <c r="B61" s="51" t="s">
        <v>62</v>
      </c>
      <c r="C61" s="50" t="s">
        <v>32</v>
      </c>
      <c r="D61" s="31" t="s">
        <v>63</v>
      </c>
      <c r="E61" s="33" t="s">
        <v>19</v>
      </c>
      <c r="F61" s="50">
        <v>2012</v>
      </c>
      <c r="G61" s="50" t="s">
        <v>262</v>
      </c>
      <c r="H61" s="50">
        <v>0</v>
      </c>
      <c r="I61" s="50">
        <v>0</v>
      </c>
      <c r="J61" s="50">
        <v>3.0000000000000001E-3</v>
      </c>
      <c r="K61" s="107">
        <v>0</v>
      </c>
      <c r="L61" s="75" t="s">
        <v>230</v>
      </c>
      <c r="M61" s="77" t="s">
        <v>197</v>
      </c>
      <c r="N61" s="77" t="s">
        <v>193</v>
      </c>
      <c r="O61" s="133"/>
      <c r="P61" s="90"/>
      <c r="Q61" s="34">
        <v>1</v>
      </c>
      <c r="R61" s="33">
        <v>1</v>
      </c>
      <c r="S61" s="33">
        <v>4</v>
      </c>
      <c r="T61" s="33">
        <v>2</v>
      </c>
      <c r="U61" s="34">
        <v>2</v>
      </c>
      <c r="V61" s="35">
        <f t="shared" si="7"/>
        <v>2</v>
      </c>
      <c r="W61" s="33">
        <v>5</v>
      </c>
      <c r="X61" s="36">
        <f t="shared" si="5"/>
        <v>2</v>
      </c>
      <c r="Y61" s="6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</row>
    <row r="62" spans="1:36" s="4" customFormat="1" x14ac:dyDescent="0.2">
      <c r="A62" s="3"/>
      <c r="B62" s="51" t="s">
        <v>64</v>
      </c>
      <c r="C62" s="50" t="s">
        <v>32</v>
      </c>
      <c r="D62" s="31" t="s">
        <v>65</v>
      </c>
      <c r="E62" s="33" t="s">
        <v>19</v>
      </c>
      <c r="F62" s="50">
        <v>2012</v>
      </c>
      <c r="G62" s="50" t="s">
        <v>262</v>
      </c>
      <c r="H62" s="50">
        <v>0</v>
      </c>
      <c r="I62" s="50">
        <v>0</v>
      </c>
      <c r="J62" s="50">
        <v>0.17599999999999999</v>
      </c>
      <c r="K62" s="107">
        <v>0</v>
      </c>
      <c r="L62" s="75" t="s">
        <v>235</v>
      </c>
      <c r="M62" s="77" t="s">
        <v>197</v>
      </c>
      <c r="N62" s="77" t="s">
        <v>193</v>
      </c>
      <c r="O62" s="133"/>
      <c r="P62" s="90"/>
      <c r="Q62" s="34">
        <v>2</v>
      </c>
      <c r="R62" s="33">
        <v>1</v>
      </c>
      <c r="S62" s="33">
        <v>4</v>
      </c>
      <c r="T62" s="33">
        <v>2</v>
      </c>
      <c r="U62" s="34">
        <v>2</v>
      </c>
      <c r="V62" s="35">
        <f t="shared" si="7"/>
        <v>2.2000000000000002</v>
      </c>
      <c r="W62" s="33">
        <v>5</v>
      </c>
      <c r="X62" s="36">
        <f t="shared" si="5"/>
        <v>2.1999999999999997</v>
      </c>
      <c r="Y62" s="6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</row>
    <row r="63" spans="1:36" s="4" customFormat="1" ht="14.45" customHeight="1" x14ac:dyDescent="0.2">
      <c r="A63" s="3"/>
      <c r="B63" s="196" t="s">
        <v>66</v>
      </c>
      <c r="C63" s="197" t="s">
        <v>68</v>
      </c>
      <c r="D63" s="196" t="s">
        <v>67</v>
      </c>
      <c r="E63" s="33" t="s">
        <v>19</v>
      </c>
      <c r="F63" s="32">
        <v>2012</v>
      </c>
      <c r="G63" s="80" t="s">
        <v>262</v>
      </c>
      <c r="H63" s="80">
        <v>1.4E-2</v>
      </c>
      <c r="I63" s="80">
        <v>1.4E-2</v>
      </c>
      <c r="J63" s="80">
        <v>0</v>
      </c>
      <c r="K63" s="102">
        <v>1.4999999999999999E-2</v>
      </c>
      <c r="L63" s="194" t="s">
        <v>213</v>
      </c>
      <c r="M63" s="195" t="s">
        <v>29</v>
      </c>
      <c r="N63" s="195" t="s">
        <v>201</v>
      </c>
      <c r="O63" s="134"/>
      <c r="P63" s="90"/>
      <c r="Q63" s="34">
        <v>1</v>
      </c>
      <c r="R63" s="33">
        <v>1</v>
      </c>
      <c r="S63" s="33">
        <v>1</v>
      </c>
      <c r="T63" s="33">
        <v>2</v>
      </c>
      <c r="U63" s="34">
        <v>2</v>
      </c>
      <c r="V63" s="35">
        <f t="shared" si="7"/>
        <v>1.4</v>
      </c>
      <c r="W63" s="33">
        <v>5</v>
      </c>
      <c r="X63" s="36">
        <f t="shared" si="5"/>
        <v>1.4000000000000001</v>
      </c>
      <c r="Y63" s="6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</row>
    <row r="64" spans="1:36" s="4" customFormat="1" x14ac:dyDescent="0.2">
      <c r="A64" s="3"/>
      <c r="B64" s="41" t="s">
        <v>69</v>
      </c>
      <c r="C64" s="42"/>
      <c r="D64" s="42"/>
      <c r="E64" s="42"/>
      <c r="F64" s="42"/>
      <c r="G64" s="42"/>
      <c r="H64" s="119"/>
      <c r="I64" s="119"/>
      <c r="J64" s="119"/>
      <c r="K64" s="119"/>
      <c r="L64" s="101"/>
      <c r="M64" s="118"/>
      <c r="N64" s="118"/>
      <c r="O64" s="130"/>
      <c r="P64" s="42"/>
      <c r="Q64" s="42"/>
      <c r="R64" s="42"/>
      <c r="S64" s="42"/>
      <c r="T64" s="42"/>
      <c r="U64" s="42"/>
      <c r="V64" s="42"/>
      <c r="W64" s="42"/>
      <c r="X64" s="43"/>
      <c r="Y64" s="67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</row>
    <row r="65" spans="1:36" s="4" customFormat="1" x14ac:dyDescent="0.2">
      <c r="A65" s="3"/>
      <c r="B65" s="81" t="s">
        <v>70</v>
      </c>
      <c r="C65" s="80" t="s">
        <v>20</v>
      </c>
      <c r="D65" s="81" t="s">
        <v>71</v>
      </c>
      <c r="E65" s="82" t="s">
        <v>19</v>
      </c>
      <c r="F65" s="80">
        <v>2012</v>
      </c>
      <c r="G65" s="80" t="s">
        <v>262</v>
      </c>
      <c r="H65" s="80">
        <v>0</v>
      </c>
      <c r="I65" s="80">
        <v>0</v>
      </c>
      <c r="J65" s="80">
        <v>1.0999999999999999E-2</v>
      </c>
      <c r="K65" s="102">
        <v>0</v>
      </c>
      <c r="L65" s="89" t="s">
        <v>221</v>
      </c>
      <c r="M65" s="11" t="s">
        <v>192</v>
      </c>
      <c r="N65" s="195" t="s">
        <v>201</v>
      </c>
      <c r="O65" s="51"/>
      <c r="P65" s="34"/>
      <c r="Q65" s="34">
        <v>2</v>
      </c>
      <c r="R65" s="33">
        <v>1</v>
      </c>
      <c r="S65" s="33">
        <v>4</v>
      </c>
      <c r="T65" s="33">
        <v>2</v>
      </c>
      <c r="U65" s="34">
        <v>2</v>
      </c>
      <c r="V65" s="35">
        <f>AVERAGE(Q65:U65)</f>
        <v>2.2000000000000002</v>
      </c>
      <c r="W65" s="33">
        <v>5</v>
      </c>
      <c r="X65" s="36">
        <f t="shared" si="5"/>
        <v>2.1999999999999997</v>
      </c>
      <c r="Y65" s="67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</row>
    <row r="66" spans="1:36" s="4" customFormat="1" ht="25.5" x14ac:dyDescent="0.2">
      <c r="A66" s="3"/>
      <c r="B66" s="31" t="s">
        <v>72</v>
      </c>
      <c r="C66" s="50" t="s">
        <v>20</v>
      </c>
      <c r="D66" s="31" t="s">
        <v>73</v>
      </c>
      <c r="E66" s="33" t="s">
        <v>19</v>
      </c>
      <c r="F66" s="50">
        <v>2012</v>
      </c>
      <c r="G66" s="50" t="s">
        <v>262</v>
      </c>
      <c r="H66" s="50">
        <v>0</v>
      </c>
      <c r="I66" s="50">
        <v>0</v>
      </c>
      <c r="J66" s="50">
        <v>0</v>
      </c>
      <c r="K66" s="107">
        <v>0</v>
      </c>
      <c r="L66" s="89" t="s">
        <v>224</v>
      </c>
      <c r="M66" s="11" t="s">
        <v>192</v>
      </c>
      <c r="N66" s="195" t="s">
        <v>201</v>
      </c>
      <c r="O66" s="51"/>
      <c r="P66" s="34"/>
      <c r="Q66" s="34">
        <v>2</v>
      </c>
      <c r="R66" s="33">
        <v>1</v>
      </c>
      <c r="S66" s="33">
        <v>4</v>
      </c>
      <c r="T66" s="33">
        <v>2</v>
      </c>
      <c r="U66" s="34">
        <v>2</v>
      </c>
      <c r="V66" s="35">
        <f>AVERAGE(Q66:U66)</f>
        <v>2.2000000000000002</v>
      </c>
      <c r="W66" s="33">
        <v>5</v>
      </c>
      <c r="X66" s="36">
        <f t="shared" si="5"/>
        <v>2.1999999999999997</v>
      </c>
      <c r="Y66" s="6"/>
      <c r="Z66" s="63"/>
      <c r="AA66" s="68"/>
      <c r="AB66" s="68"/>
      <c r="AC66" s="68"/>
      <c r="AD66" s="68"/>
      <c r="AE66" s="68"/>
      <c r="AF66" s="68"/>
      <c r="AG66" s="68"/>
      <c r="AH66" s="68"/>
      <c r="AI66" s="68"/>
      <c r="AJ66" s="68"/>
    </row>
    <row r="67" spans="1:36" s="4" customFormat="1" x14ac:dyDescent="0.2">
      <c r="A67" s="3"/>
      <c r="B67" s="31" t="s">
        <v>74</v>
      </c>
      <c r="C67" s="32" t="s">
        <v>32</v>
      </c>
      <c r="D67" s="31" t="s">
        <v>75</v>
      </c>
      <c r="E67" s="33" t="s">
        <v>19</v>
      </c>
      <c r="F67" s="32">
        <v>2012</v>
      </c>
      <c r="G67" s="50" t="s">
        <v>262</v>
      </c>
      <c r="H67" s="50">
        <v>1.575E-2</v>
      </c>
      <c r="I67" s="50">
        <v>2.7E-2</v>
      </c>
      <c r="J67" s="50">
        <v>1.0999999999999999E-2</v>
      </c>
      <c r="K67" s="107">
        <v>4.4999999999999998E-2</v>
      </c>
      <c r="L67" s="75" t="s">
        <v>225</v>
      </c>
      <c r="M67" s="10" t="s">
        <v>192</v>
      </c>
      <c r="N67" s="10" t="s">
        <v>193</v>
      </c>
      <c r="O67" s="31"/>
      <c r="P67" s="34"/>
      <c r="Q67" s="34">
        <v>2</v>
      </c>
      <c r="R67" s="33">
        <v>1</v>
      </c>
      <c r="S67" s="33">
        <v>4</v>
      </c>
      <c r="T67" s="33">
        <v>2</v>
      </c>
      <c r="U67" s="34">
        <v>2</v>
      </c>
      <c r="V67" s="35">
        <f>AVERAGE(Q67:U67)</f>
        <v>2.2000000000000002</v>
      </c>
      <c r="W67" s="33">
        <v>5</v>
      </c>
      <c r="X67" s="36">
        <f t="shared" si="5"/>
        <v>2.1999999999999997</v>
      </c>
      <c r="Y67" s="6"/>
      <c r="Z67" s="63"/>
      <c r="AA67" s="68"/>
      <c r="AB67" s="68"/>
      <c r="AC67" s="68"/>
      <c r="AD67" s="68"/>
      <c r="AE67" s="68"/>
      <c r="AF67" s="68"/>
      <c r="AG67" s="68"/>
      <c r="AH67" s="68"/>
      <c r="AI67" s="68"/>
      <c r="AJ67" s="68"/>
    </row>
    <row r="68" spans="1:36" s="4" customFormat="1" x14ac:dyDescent="0.2">
      <c r="A68" s="3"/>
      <c r="B68" s="81" t="s">
        <v>76</v>
      </c>
      <c r="C68" s="80" t="s">
        <v>32</v>
      </c>
      <c r="D68" s="81" t="s">
        <v>77</v>
      </c>
      <c r="E68" s="82" t="s">
        <v>19</v>
      </c>
      <c r="F68" s="80">
        <v>2012</v>
      </c>
      <c r="G68" s="80" t="s">
        <v>262</v>
      </c>
      <c r="H68" s="80">
        <v>5.2500000000000003E-3</v>
      </c>
      <c r="I68" s="80">
        <v>8.9999999999999993E-3</v>
      </c>
      <c r="J68" s="80">
        <v>0</v>
      </c>
      <c r="K68" s="102">
        <v>1.4999999999999999E-2</v>
      </c>
      <c r="L68" s="89" t="s">
        <v>223</v>
      </c>
      <c r="M68" s="11" t="s">
        <v>192</v>
      </c>
      <c r="N68" s="195" t="s">
        <v>201</v>
      </c>
      <c r="O68" s="31"/>
      <c r="P68" s="34"/>
      <c r="Q68" s="34">
        <v>2</v>
      </c>
      <c r="R68" s="33">
        <v>1</v>
      </c>
      <c r="S68" s="33">
        <v>4</v>
      </c>
      <c r="T68" s="33">
        <v>2</v>
      </c>
      <c r="U68" s="34">
        <v>2</v>
      </c>
      <c r="V68" s="35">
        <f>AVERAGE(Q68:U68)</f>
        <v>2.2000000000000002</v>
      </c>
      <c r="W68" s="33">
        <v>5</v>
      </c>
      <c r="X68" s="36">
        <f t="shared" si="5"/>
        <v>2.1999999999999997</v>
      </c>
      <c r="Y68" s="6"/>
      <c r="Z68" s="63"/>
      <c r="AA68" s="68"/>
      <c r="AB68" s="68"/>
      <c r="AC68" s="68"/>
      <c r="AD68" s="68"/>
      <c r="AE68" s="68"/>
      <c r="AF68" s="68"/>
      <c r="AG68" s="68"/>
      <c r="AH68" s="68"/>
      <c r="AI68" s="68"/>
      <c r="AJ68" s="68"/>
    </row>
    <row r="69" spans="1:36" x14ac:dyDescent="0.2">
      <c r="B69" s="28" t="s">
        <v>78</v>
      </c>
      <c r="C69" s="29"/>
      <c r="D69" s="29"/>
      <c r="E69" s="29"/>
      <c r="F69" s="29"/>
      <c r="G69" s="29"/>
      <c r="H69" s="112"/>
      <c r="I69" s="112"/>
      <c r="J69" s="112"/>
      <c r="K69" s="112"/>
      <c r="L69" s="214"/>
      <c r="M69" s="112"/>
      <c r="N69" s="112"/>
      <c r="O69" s="123"/>
      <c r="P69" s="29"/>
      <c r="Q69" s="29"/>
      <c r="R69" s="29"/>
      <c r="S69" s="29"/>
      <c r="T69" s="29"/>
      <c r="U69" s="29"/>
      <c r="V69" s="29"/>
      <c r="W69" s="29"/>
      <c r="X69" s="30"/>
    </row>
    <row r="70" spans="1:36" x14ac:dyDescent="0.2">
      <c r="B70" s="41" t="s">
        <v>79</v>
      </c>
      <c r="C70" s="42"/>
      <c r="D70" s="42"/>
      <c r="E70" s="42"/>
      <c r="F70" s="42"/>
      <c r="G70" s="42"/>
      <c r="H70" s="119"/>
      <c r="I70" s="119"/>
      <c r="J70" s="119"/>
      <c r="K70" s="119"/>
      <c r="L70" s="93"/>
      <c r="M70" s="115"/>
      <c r="N70" s="115"/>
      <c r="O70" s="125"/>
      <c r="P70" s="42"/>
      <c r="Q70" s="42"/>
      <c r="R70" s="42"/>
      <c r="S70" s="42"/>
      <c r="T70" s="42"/>
      <c r="U70" s="42"/>
      <c r="V70" s="42"/>
      <c r="W70" s="42"/>
      <c r="X70" s="43"/>
    </row>
    <row r="71" spans="1:36" x14ac:dyDescent="0.2">
      <c r="B71" s="415" t="s">
        <v>80</v>
      </c>
      <c r="C71" s="32" t="s">
        <v>32</v>
      </c>
      <c r="D71" s="31" t="s">
        <v>33</v>
      </c>
      <c r="E71" s="33" t="s">
        <v>19</v>
      </c>
      <c r="F71" s="32">
        <v>2012</v>
      </c>
      <c r="G71" s="32" t="s">
        <v>262</v>
      </c>
      <c r="H71" s="409">
        <v>0</v>
      </c>
      <c r="I71" s="409">
        <v>0</v>
      </c>
      <c r="J71" s="409">
        <v>1.6E-2</v>
      </c>
      <c r="K71" s="412">
        <v>0</v>
      </c>
      <c r="L71" s="75" t="s">
        <v>231</v>
      </c>
      <c r="M71" s="77" t="s">
        <v>192</v>
      </c>
      <c r="N71" s="77" t="s">
        <v>193</v>
      </c>
      <c r="O71" s="61"/>
      <c r="P71" s="91"/>
      <c r="Q71" s="33">
        <v>3</v>
      </c>
      <c r="R71" s="33">
        <v>1</v>
      </c>
      <c r="S71" s="33">
        <v>4</v>
      </c>
      <c r="T71" s="33">
        <v>3</v>
      </c>
      <c r="U71" s="34">
        <v>3</v>
      </c>
      <c r="V71" s="35">
        <f t="shared" ref="V71:V78" si="8">AVERAGE(Q71:U71)</f>
        <v>2.8</v>
      </c>
      <c r="W71" s="33">
        <v>5</v>
      </c>
      <c r="X71" s="36">
        <f t="shared" ref="X71:X84" si="9">AVERAGE(Q71:V71)</f>
        <v>2.8000000000000003</v>
      </c>
    </row>
    <row r="72" spans="1:36" x14ac:dyDescent="0.2">
      <c r="B72" s="416"/>
      <c r="C72" s="32" t="s">
        <v>29</v>
      </c>
      <c r="D72" s="31" t="s">
        <v>81</v>
      </c>
      <c r="E72" s="33" t="s">
        <v>19</v>
      </c>
      <c r="F72" s="32">
        <v>2012</v>
      </c>
      <c r="G72" s="32" t="s">
        <v>262</v>
      </c>
      <c r="H72" s="411"/>
      <c r="I72" s="411"/>
      <c r="J72" s="411"/>
      <c r="K72" s="414"/>
      <c r="L72" s="75" t="s">
        <v>217</v>
      </c>
      <c r="M72" s="77" t="s">
        <v>29</v>
      </c>
      <c r="N72" s="77" t="s">
        <v>193</v>
      </c>
      <c r="O72" s="61"/>
      <c r="P72" s="91"/>
      <c r="Q72" s="33">
        <v>2</v>
      </c>
      <c r="R72" s="33">
        <v>1</v>
      </c>
      <c r="S72" s="33">
        <v>2</v>
      </c>
      <c r="T72" s="33">
        <v>2</v>
      </c>
      <c r="U72" s="34">
        <v>2</v>
      </c>
      <c r="V72" s="35">
        <f t="shared" si="8"/>
        <v>1.8</v>
      </c>
      <c r="W72" s="33">
        <v>5</v>
      </c>
      <c r="X72" s="36">
        <f t="shared" si="9"/>
        <v>1.8</v>
      </c>
    </row>
    <row r="73" spans="1:36" x14ac:dyDescent="0.2">
      <c r="B73" s="31" t="s">
        <v>82</v>
      </c>
      <c r="C73" s="32" t="s">
        <v>20</v>
      </c>
      <c r="D73" s="31" t="s">
        <v>83</v>
      </c>
      <c r="E73" s="33" t="s">
        <v>19</v>
      </c>
      <c r="F73" s="32">
        <v>2012</v>
      </c>
      <c r="G73" s="32" t="s">
        <v>262</v>
      </c>
      <c r="H73" s="32">
        <v>0</v>
      </c>
      <c r="I73" s="32">
        <v>0</v>
      </c>
      <c r="J73" s="32">
        <v>0</v>
      </c>
      <c r="K73" s="72">
        <v>0.06</v>
      </c>
      <c r="L73" s="97" t="s">
        <v>195</v>
      </c>
      <c r="M73" s="77" t="s">
        <v>192</v>
      </c>
      <c r="N73" s="77" t="s">
        <v>193</v>
      </c>
      <c r="O73" s="61"/>
      <c r="P73" s="91"/>
      <c r="Q73" s="33">
        <v>2</v>
      </c>
      <c r="R73" s="33">
        <v>1</v>
      </c>
      <c r="S73" s="33">
        <v>4</v>
      </c>
      <c r="T73" s="33">
        <v>2</v>
      </c>
      <c r="U73" s="34">
        <v>2</v>
      </c>
      <c r="V73" s="35">
        <f t="shared" si="8"/>
        <v>2.2000000000000002</v>
      </c>
      <c r="W73" s="33">
        <v>5</v>
      </c>
      <c r="X73" s="36">
        <f t="shared" si="9"/>
        <v>2.1999999999999997</v>
      </c>
    </row>
    <row r="74" spans="1:36" x14ac:dyDescent="0.2">
      <c r="B74" s="31" t="s">
        <v>88</v>
      </c>
      <c r="C74" s="32" t="s">
        <v>32</v>
      </c>
      <c r="D74" s="31" t="s">
        <v>75</v>
      </c>
      <c r="E74" s="33" t="s">
        <v>19</v>
      </c>
      <c r="F74" s="32">
        <v>2012</v>
      </c>
      <c r="G74" s="32" t="s">
        <v>262</v>
      </c>
      <c r="H74" s="32">
        <v>0</v>
      </c>
      <c r="I74" s="32">
        <v>3.5999999999999997E-2</v>
      </c>
      <c r="J74" s="32">
        <v>3.2000000000000001E-2</v>
      </c>
      <c r="K74" s="72">
        <v>0</v>
      </c>
      <c r="L74" s="75" t="s">
        <v>225</v>
      </c>
      <c r="M74" s="77" t="s">
        <v>192</v>
      </c>
      <c r="N74" s="77" t="s">
        <v>193</v>
      </c>
      <c r="O74" s="61"/>
      <c r="P74" s="91"/>
      <c r="Q74" s="33">
        <v>2</v>
      </c>
      <c r="R74" s="33">
        <v>1</v>
      </c>
      <c r="S74" s="33">
        <v>4</v>
      </c>
      <c r="T74" s="33">
        <v>2</v>
      </c>
      <c r="U74" s="34">
        <v>2</v>
      </c>
      <c r="V74" s="35">
        <f t="shared" si="8"/>
        <v>2.2000000000000002</v>
      </c>
      <c r="W74" s="33">
        <v>5</v>
      </c>
      <c r="X74" s="36">
        <f t="shared" si="9"/>
        <v>2.1999999999999997</v>
      </c>
    </row>
    <row r="75" spans="1:36" x14ac:dyDescent="0.2">
      <c r="B75" s="31" t="s">
        <v>31</v>
      </c>
      <c r="C75" s="32" t="s">
        <v>32</v>
      </c>
      <c r="D75" s="31" t="s">
        <v>31</v>
      </c>
      <c r="E75" s="33" t="s">
        <v>19</v>
      </c>
      <c r="F75" s="32">
        <v>2012</v>
      </c>
      <c r="G75" s="32" t="s">
        <v>262</v>
      </c>
      <c r="H75" s="32">
        <v>1E-3</v>
      </c>
      <c r="I75" s="32">
        <v>1E-3</v>
      </c>
      <c r="J75" s="32">
        <v>0</v>
      </c>
      <c r="K75" s="72">
        <v>7.0000000000000001E-3</v>
      </c>
      <c r="L75" s="97" t="s">
        <v>31</v>
      </c>
      <c r="M75" s="77" t="s">
        <v>192</v>
      </c>
      <c r="N75" s="77" t="s">
        <v>193</v>
      </c>
      <c r="O75" s="61"/>
      <c r="P75" s="91"/>
      <c r="Q75" s="33">
        <v>3</v>
      </c>
      <c r="R75" s="33">
        <v>1</v>
      </c>
      <c r="S75" s="33">
        <v>4</v>
      </c>
      <c r="T75" s="33">
        <v>3</v>
      </c>
      <c r="U75" s="34">
        <v>3</v>
      </c>
      <c r="V75" s="35">
        <f t="shared" si="8"/>
        <v>2.8</v>
      </c>
      <c r="W75" s="33">
        <v>5</v>
      </c>
      <c r="X75" s="36">
        <f t="shared" si="9"/>
        <v>2.8000000000000003</v>
      </c>
    </row>
    <row r="76" spans="1:36" x14ac:dyDescent="0.2">
      <c r="B76" s="31" t="s">
        <v>89</v>
      </c>
      <c r="C76" s="32" t="s">
        <v>32</v>
      </c>
      <c r="D76" s="31" t="s">
        <v>33</v>
      </c>
      <c r="E76" s="33" t="s">
        <v>19</v>
      </c>
      <c r="F76" s="32">
        <v>2012</v>
      </c>
      <c r="G76" s="32" t="s">
        <v>262</v>
      </c>
      <c r="H76" s="32">
        <v>7.8E-2</v>
      </c>
      <c r="I76" s="32">
        <v>0</v>
      </c>
      <c r="J76" s="32">
        <v>0.114</v>
      </c>
      <c r="K76" s="72">
        <v>0</v>
      </c>
      <c r="L76" s="75" t="s">
        <v>231</v>
      </c>
      <c r="M76" s="77" t="s">
        <v>192</v>
      </c>
      <c r="N76" s="77" t="s">
        <v>193</v>
      </c>
      <c r="O76" s="61"/>
      <c r="P76" s="91"/>
      <c r="Q76" s="33">
        <v>3</v>
      </c>
      <c r="R76" s="33">
        <v>1</v>
      </c>
      <c r="S76" s="33">
        <v>4</v>
      </c>
      <c r="T76" s="33">
        <v>3</v>
      </c>
      <c r="U76" s="34">
        <v>3</v>
      </c>
      <c r="V76" s="35">
        <f t="shared" si="8"/>
        <v>2.8</v>
      </c>
      <c r="W76" s="33">
        <v>5</v>
      </c>
      <c r="X76" s="36">
        <f t="shared" si="9"/>
        <v>2.8000000000000003</v>
      </c>
    </row>
    <row r="77" spans="1:36" s="4" customFormat="1" x14ac:dyDescent="0.2">
      <c r="A77" s="3"/>
      <c r="B77" s="103" t="s">
        <v>48</v>
      </c>
      <c r="C77" s="104" t="s">
        <v>29</v>
      </c>
      <c r="D77" s="103" t="s">
        <v>49</v>
      </c>
      <c r="E77" s="139" t="s">
        <v>50</v>
      </c>
      <c r="F77" s="104">
        <v>2007</v>
      </c>
      <c r="G77" s="104" t="s">
        <v>262</v>
      </c>
      <c r="H77" s="32" t="s">
        <v>198</v>
      </c>
      <c r="I77" s="32" t="s">
        <v>198</v>
      </c>
      <c r="J77" s="32" t="s">
        <v>198</v>
      </c>
      <c r="K77" s="72" t="s">
        <v>198</v>
      </c>
      <c r="L77" s="140" t="s">
        <v>198</v>
      </c>
      <c r="M77" s="141" t="s">
        <v>198</v>
      </c>
      <c r="N77" s="141" t="s">
        <v>198</v>
      </c>
      <c r="O77" s="61"/>
      <c r="P77" s="91"/>
      <c r="Q77" s="33">
        <v>1</v>
      </c>
      <c r="R77" s="33">
        <v>2</v>
      </c>
      <c r="S77" s="33">
        <v>2</v>
      </c>
      <c r="T77" s="33">
        <v>2</v>
      </c>
      <c r="U77" s="34">
        <v>1</v>
      </c>
      <c r="V77" s="35">
        <f t="shared" si="8"/>
        <v>1.6</v>
      </c>
      <c r="W77" s="33">
        <v>5</v>
      </c>
      <c r="X77" s="36">
        <f t="shared" si="9"/>
        <v>1.5999999999999999</v>
      </c>
      <c r="Y77" s="67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</row>
    <row r="78" spans="1:36" x14ac:dyDescent="0.2">
      <c r="B78" s="31" t="s">
        <v>90</v>
      </c>
      <c r="C78" s="32" t="s">
        <v>29</v>
      </c>
      <c r="D78" s="31" t="s">
        <v>91</v>
      </c>
      <c r="E78" s="33" t="s">
        <v>19</v>
      </c>
      <c r="F78" s="32">
        <v>2012</v>
      </c>
      <c r="G78" s="32" t="s">
        <v>262</v>
      </c>
      <c r="H78" s="32">
        <v>1E-3</v>
      </c>
      <c r="I78" s="32">
        <v>1E-3</v>
      </c>
      <c r="J78" s="32">
        <v>0</v>
      </c>
      <c r="K78" s="72">
        <v>1.0999999999999999E-2</v>
      </c>
      <c r="L78" s="75" t="s">
        <v>206</v>
      </c>
      <c r="M78" s="77" t="s">
        <v>192</v>
      </c>
      <c r="N78" s="77" t="s">
        <v>193</v>
      </c>
      <c r="O78" s="129" t="s">
        <v>207</v>
      </c>
      <c r="P78" s="91"/>
      <c r="Q78" s="33">
        <v>2</v>
      </c>
      <c r="R78" s="33">
        <v>1</v>
      </c>
      <c r="S78" s="33">
        <v>2</v>
      </c>
      <c r="T78" s="33">
        <v>2</v>
      </c>
      <c r="U78" s="34">
        <v>2</v>
      </c>
      <c r="V78" s="35">
        <f t="shared" si="8"/>
        <v>1.8</v>
      </c>
      <c r="W78" s="33">
        <v>5</v>
      </c>
      <c r="X78" s="36">
        <f t="shared" si="9"/>
        <v>1.8</v>
      </c>
    </row>
    <row r="79" spans="1:36" x14ac:dyDescent="0.2">
      <c r="B79" s="41" t="s">
        <v>92</v>
      </c>
      <c r="C79" s="42"/>
      <c r="D79" s="42"/>
      <c r="E79" s="42"/>
      <c r="F79" s="42"/>
      <c r="G79" s="42"/>
      <c r="H79" s="119"/>
      <c r="I79" s="119"/>
      <c r="J79" s="119"/>
      <c r="K79" s="119"/>
      <c r="L79" s="101"/>
      <c r="M79" s="117"/>
      <c r="N79" s="117"/>
      <c r="O79" s="130"/>
      <c r="P79" s="42"/>
      <c r="Q79" s="42"/>
      <c r="R79" s="42"/>
      <c r="S79" s="42"/>
      <c r="T79" s="42"/>
      <c r="U79" s="42"/>
      <c r="V79" s="42"/>
      <c r="W79" s="42"/>
      <c r="X79" s="43"/>
    </row>
    <row r="80" spans="1:36" s="1" customFormat="1" ht="25.5" x14ac:dyDescent="0.2">
      <c r="B80" s="31" t="s">
        <v>84</v>
      </c>
      <c r="C80" s="32" t="s">
        <v>20</v>
      </c>
      <c r="D80" s="31" t="s">
        <v>85</v>
      </c>
      <c r="E80" s="33" t="s">
        <v>19</v>
      </c>
      <c r="F80" s="32">
        <v>2012</v>
      </c>
      <c r="G80" s="32" t="s">
        <v>262</v>
      </c>
      <c r="H80" s="32">
        <v>3.0000000000000001E-3</v>
      </c>
      <c r="I80" s="32">
        <v>1E-3</v>
      </c>
      <c r="J80" s="32">
        <v>0</v>
      </c>
      <c r="K80" s="72">
        <v>2E-3</v>
      </c>
      <c r="L80" s="75" t="s">
        <v>222</v>
      </c>
      <c r="M80" s="77" t="s">
        <v>29</v>
      </c>
      <c r="N80" s="77" t="s">
        <v>193</v>
      </c>
      <c r="O80" s="58"/>
      <c r="P80" s="33"/>
      <c r="Q80" s="33">
        <v>1</v>
      </c>
      <c r="R80" s="33">
        <v>1</v>
      </c>
      <c r="S80" s="33">
        <v>2</v>
      </c>
      <c r="T80" s="33">
        <v>2</v>
      </c>
      <c r="U80" s="34">
        <v>2</v>
      </c>
      <c r="V80" s="35">
        <f t="shared" ref="V80:V84" si="10">AVERAGE(Q80:U80)</f>
        <v>1.6</v>
      </c>
      <c r="W80" s="33">
        <v>5</v>
      </c>
      <c r="X80" s="36">
        <f t="shared" si="9"/>
        <v>1.5999999999999999</v>
      </c>
      <c r="Y80" s="6"/>
      <c r="Z80" s="63"/>
      <c r="AA80" s="63"/>
      <c r="AB80" s="63"/>
      <c r="AC80" s="63"/>
      <c r="AD80" s="63"/>
      <c r="AE80" s="63"/>
      <c r="AF80" s="6"/>
      <c r="AG80" s="6"/>
      <c r="AH80" s="6"/>
      <c r="AI80" s="6"/>
      <c r="AJ80" s="6"/>
    </row>
    <row r="81" spans="1:36" s="1" customFormat="1" x14ac:dyDescent="0.2">
      <c r="B81" s="31" t="s">
        <v>86</v>
      </c>
      <c r="C81" s="32" t="s">
        <v>32</v>
      </c>
      <c r="D81" s="31" t="s">
        <v>87</v>
      </c>
      <c r="E81" s="33" t="s">
        <v>19</v>
      </c>
      <c r="F81" s="32">
        <v>2012</v>
      </c>
      <c r="G81" s="32" t="s">
        <v>262</v>
      </c>
      <c r="H81" s="32">
        <v>6.5000000000000002E-2</v>
      </c>
      <c r="I81" s="32">
        <v>4.0000000000000001E-3</v>
      </c>
      <c r="J81" s="32">
        <v>0</v>
      </c>
      <c r="K81" s="72">
        <v>5.0000000000000001E-3</v>
      </c>
      <c r="L81" s="75" t="s">
        <v>223</v>
      </c>
      <c r="M81" s="77" t="s">
        <v>192</v>
      </c>
      <c r="N81" s="77" t="s">
        <v>193</v>
      </c>
      <c r="O81" s="58"/>
      <c r="P81" s="33"/>
      <c r="Q81" s="33">
        <v>2</v>
      </c>
      <c r="R81" s="33">
        <v>1</v>
      </c>
      <c r="S81" s="33">
        <v>1</v>
      </c>
      <c r="T81" s="33">
        <v>2</v>
      </c>
      <c r="U81" s="34">
        <v>2</v>
      </c>
      <c r="V81" s="35">
        <f t="shared" si="10"/>
        <v>1.6</v>
      </c>
      <c r="W81" s="33">
        <v>5</v>
      </c>
      <c r="X81" s="36">
        <f t="shared" si="9"/>
        <v>1.5999999999999999</v>
      </c>
      <c r="Y81" s="6"/>
      <c r="Z81" s="63"/>
      <c r="AA81" s="63"/>
      <c r="AB81" s="63"/>
      <c r="AC81" s="63"/>
      <c r="AD81" s="63"/>
      <c r="AE81" s="63"/>
      <c r="AF81" s="6"/>
      <c r="AG81" s="6"/>
      <c r="AH81" s="6"/>
      <c r="AI81" s="6"/>
      <c r="AJ81" s="6"/>
    </row>
    <row r="82" spans="1:36" s="1" customFormat="1" x14ac:dyDescent="0.2">
      <c r="B82" s="31" t="s">
        <v>88</v>
      </c>
      <c r="C82" s="32" t="s">
        <v>32</v>
      </c>
      <c r="D82" s="31" t="s">
        <v>75</v>
      </c>
      <c r="E82" s="33" t="s">
        <v>19</v>
      </c>
      <c r="F82" s="32">
        <v>2012</v>
      </c>
      <c r="G82" s="32" t="s">
        <v>262</v>
      </c>
      <c r="H82" s="32">
        <v>0.17100000000000001</v>
      </c>
      <c r="I82" s="32">
        <v>8.7999999999999995E-2</v>
      </c>
      <c r="J82" s="32">
        <v>0</v>
      </c>
      <c r="K82" s="72">
        <v>0.126</v>
      </c>
      <c r="L82" s="75" t="s">
        <v>225</v>
      </c>
      <c r="M82" s="77" t="s">
        <v>192</v>
      </c>
      <c r="N82" s="77" t="s">
        <v>193</v>
      </c>
      <c r="O82" s="58"/>
      <c r="P82" s="33"/>
      <c r="Q82" s="33">
        <v>2</v>
      </c>
      <c r="R82" s="33">
        <v>1</v>
      </c>
      <c r="S82" s="33">
        <v>1</v>
      </c>
      <c r="T82" s="33">
        <v>2</v>
      </c>
      <c r="U82" s="34">
        <v>2</v>
      </c>
      <c r="V82" s="35">
        <f t="shared" si="10"/>
        <v>1.6</v>
      </c>
      <c r="W82" s="33">
        <v>5</v>
      </c>
      <c r="X82" s="36">
        <f t="shared" si="9"/>
        <v>1.5999999999999999</v>
      </c>
      <c r="Y82" s="6"/>
      <c r="Z82" s="63"/>
      <c r="AA82" s="63"/>
      <c r="AB82" s="63"/>
      <c r="AC82" s="63"/>
      <c r="AD82" s="63"/>
      <c r="AE82" s="63"/>
      <c r="AF82" s="6"/>
      <c r="AG82" s="6"/>
      <c r="AH82" s="6"/>
      <c r="AI82" s="6"/>
      <c r="AJ82" s="6"/>
    </row>
    <row r="83" spans="1:36" s="1" customFormat="1" x14ac:dyDescent="0.2">
      <c r="B83" s="31" t="s">
        <v>89</v>
      </c>
      <c r="C83" s="32" t="s">
        <v>32</v>
      </c>
      <c r="D83" s="31" t="s">
        <v>33</v>
      </c>
      <c r="E83" s="33" t="s">
        <v>19</v>
      </c>
      <c r="F83" s="32">
        <v>2012</v>
      </c>
      <c r="G83" s="32" t="s">
        <v>262</v>
      </c>
      <c r="H83" s="32">
        <v>3.1E-2</v>
      </c>
      <c r="I83" s="32">
        <v>1.2E-2</v>
      </c>
      <c r="J83" s="32">
        <v>0</v>
      </c>
      <c r="K83" s="72">
        <v>5.1999999999999998E-2</v>
      </c>
      <c r="L83" s="75" t="s">
        <v>231</v>
      </c>
      <c r="M83" s="77" t="s">
        <v>192</v>
      </c>
      <c r="N83" s="77" t="s">
        <v>193</v>
      </c>
      <c r="O83" s="58"/>
      <c r="P83" s="33"/>
      <c r="Q83" s="33">
        <v>3</v>
      </c>
      <c r="R83" s="33">
        <v>1</v>
      </c>
      <c r="S83" s="33">
        <v>1</v>
      </c>
      <c r="T83" s="33">
        <v>3</v>
      </c>
      <c r="U83" s="34">
        <v>3</v>
      </c>
      <c r="V83" s="35">
        <f t="shared" si="10"/>
        <v>2.2000000000000002</v>
      </c>
      <c r="W83" s="33">
        <v>5</v>
      </c>
      <c r="X83" s="36">
        <f t="shared" si="9"/>
        <v>2.1999999999999997</v>
      </c>
      <c r="Y83" s="6"/>
      <c r="Z83" s="63"/>
      <c r="AA83" s="63"/>
      <c r="AB83" s="63"/>
      <c r="AC83" s="63"/>
      <c r="AD83" s="63"/>
      <c r="AE83" s="63"/>
      <c r="AF83" s="6"/>
      <c r="AG83" s="6"/>
      <c r="AH83" s="6"/>
      <c r="AI83" s="6"/>
      <c r="AJ83" s="6"/>
    </row>
    <row r="84" spans="1:36" s="4" customFormat="1" x14ac:dyDescent="0.2">
      <c r="A84" s="3"/>
      <c r="B84" s="103" t="s">
        <v>48</v>
      </c>
      <c r="C84" s="104" t="s">
        <v>29</v>
      </c>
      <c r="D84" s="103" t="s">
        <v>49</v>
      </c>
      <c r="E84" s="139" t="s">
        <v>50</v>
      </c>
      <c r="F84" s="104">
        <v>2007</v>
      </c>
      <c r="G84" s="104" t="s">
        <v>262</v>
      </c>
      <c r="H84" s="32" t="s">
        <v>198</v>
      </c>
      <c r="I84" s="32" t="s">
        <v>198</v>
      </c>
      <c r="J84" s="32" t="s">
        <v>198</v>
      </c>
      <c r="K84" s="72" t="s">
        <v>198</v>
      </c>
      <c r="L84" s="140" t="s">
        <v>198</v>
      </c>
      <c r="M84" s="141" t="s">
        <v>198</v>
      </c>
      <c r="N84" s="141" t="s">
        <v>198</v>
      </c>
      <c r="O84" s="58"/>
      <c r="P84" s="33"/>
      <c r="Q84" s="33">
        <v>1</v>
      </c>
      <c r="R84" s="33">
        <v>2</v>
      </c>
      <c r="S84" s="33">
        <v>2</v>
      </c>
      <c r="T84" s="33">
        <v>2</v>
      </c>
      <c r="U84" s="34">
        <v>1</v>
      </c>
      <c r="V84" s="35">
        <f t="shared" si="10"/>
        <v>1.6</v>
      </c>
      <c r="W84" s="33">
        <v>5</v>
      </c>
      <c r="X84" s="36">
        <f t="shared" si="9"/>
        <v>1.5999999999999999</v>
      </c>
      <c r="Y84" s="67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</row>
    <row r="85" spans="1:36" s="1" customFormat="1" x14ac:dyDescent="0.2">
      <c r="B85" s="28" t="s">
        <v>93</v>
      </c>
      <c r="C85" s="29"/>
      <c r="D85" s="29"/>
      <c r="E85" s="29"/>
      <c r="F85" s="29"/>
      <c r="G85" s="29"/>
      <c r="H85" s="112"/>
      <c r="I85" s="112"/>
      <c r="J85" s="112"/>
      <c r="K85" s="112"/>
      <c r="L85" s="29"/>
      <c r="M85" s="112"/>
      <c r="N85" s="112"/>
      <c r="O85" s="123"/>
      <c r="P85" s="29"/>
      <c r="Q85" s="29"/>
      <c r="R85" s="29"/>
      <c r="S85" s="29"/>
      <c r="T85" s="29"/>
      <c r="U85" s="29"/>
      <c r="V85" s="29"/>
      <c r="W85" s="29"/>
      <c r="X85" s="30"/>
      <c r="Y85" s="6"/>
      <c r="Z85" s="63"/>
      <c r="AA85" s="63"/>
      <c r="AB85" s="63"/>
      <c r="AC85" s="63"/>
      <c r="AD85" s="63"/>
      <c r="AE85" s="63"/>
      <c r="AF85" s="6"/>
      <c r="AG85" s="6"/>
      <c r="AH85" s="6"/>
      <c r="AI85" s="6"/>
      <c r="AJ85" s="6"/>
    </row>
    <row r="86" spans="1:36" s="1" customFormat="1" x14ac:dyDescent="0.2">
      <c r="B86" s="41" t="s">
        <v>94</v>
      </c>
      <c r="C86" s="42"/>
      <c r="D86" s="42"/>
      <c r="E86" s="42"/>
      <c r="F86" s="42"/>
      <c r="G86" s="42"/>
      <c r="H86" s="119"/>
      <c r="I86" s="119"/>
      <c r="J86" s="119"/>
      <c r="K86" s="119"/>
      <c r="L86" s="93"/>
      <c r="M86" s="115"/>
      <c r="N86" s="115"/>
      <c r="O86" s="135"/>
      <c r="P86" s="42"/>
      <c r="Q86" s="42"/>
      <c r="R86" s="42"/>
      <c r="S86" s="42"/>
      <c r="T86" s="42"/>
      <c r="U86" s="42"/>
      <c r="V86" s="42"/>
      <c r="W86" s="42"/>
      <c r="X86" s="43"/>
      <c r="Y86" s="6"/>
      <c r="Z86" s="63"/>
      <c r="AA86" s="63"/>
      <c r="AB86" s="63"/>
      <c r="AC86" s="63"/>
      <c r="AD86" s="63"/>
      <c r="AE86" s="63"/>
      <c r="AF86" s="6"/>
      <c r="AG86" s="6"/>
      <c r="AH86" s="6"/>
      <c r="AI86" s="6"/>
      <c r="AJ86" s="6"/>
    </row>
    <row r="87" spans="1:36" s="1" customFormat="1" x14ac:dyDescent="0.2">
      <c r="B87" s="81" t="s">
        <v>95</v>
      </c>
      <c r="C87" s="80" t="s">
        <v>32</v>
      </c>
      <c r="D87" s="81" t="s">
        <v>96</v>
      </c>
      <c r="E87" s="82" t="s">
        <v>19</v>
      </c>
      <c r="F87" s="80">
        <v>2012</v>
      </c>
      <c r="G87" s="80" t="s">
        <v>262</v>
      </c>
      <c r="H87" s="409">
        <v>0</v>
      </c>
      <c r="I87" s="409">
        <v>0</v>
      </c>
      <c r="J87" s="409">
        <v>0</v>
      </c>
      <c r="K87" s="412">
        <v>2.7000000000000001E-3</v>
      </c>
      <c r="L87" s="89" t="s">
        <v>234</v>
      </c>
      <c r="M87" s="88" t="s">
        <v>29</v>
      </c>
      <c r="N87" s="88" t="s">
        <v>201</v>
      </c>
      <c r="O87" s="58"/>
      <c r="P87" s="34"/>
      <c r="Q87" s="52">
        <v>3</v>
      </c>
      <c r="R87" s="33">
        <v>1</v>
      </c>
      <c r="S87" s="33">
        <v>1</v>
      </c>
      <c r="T87" s="33">
        <v>3</v>
      </c>
      <c r="U87" s="34">
        <v>3</v>
      </c>
      <c r="V87" s="35">
        <f>AVERAGE(Q87:U87)</f>
        <v>2.2000000000000002</v>
      </c>
      <c r="W87" s="33">
        <v>5</v>
      </c>
      <c r="X87" s="36">
        <f t="shared" ref="X87:X94" si="11">AVERAGE(Q87:V87)</f>
        <v>2.1999999999999997</v>
      </c>
      <c r="Y87" s="6"/>
      <c r="Z87" s="63"/>
      <c r="AA87" s="63"/>
      <c r="AB87" s="63"/>
      <c r="AC87" s="63"/>
      <c r="AD87" s="63"/>
      <c r="AE87" s="63"/>
      <c r="AF87" s="6"/>
      <c r="AG87" s="6"/>
      <c r="AH87" s="6"/>
      <c r="AI87" s="6"/>
      <c r="AJ87" s="6"/>
    </row>
    <row r="88" spans="1:36" s="1" customFormat="1" x14ac:dyDescent="0.2">
      <c r="B88" s="81" t="s">
        <v>86</v>
      </c>
      <c r="C88" s="80" t="s">
        <v>32</v>
      </c>
      <c r="D88" s="81" t="s">
        <v>97</v>
      </c>
      <c r="E88" s="82" t="s">
        <v>19</v>
      </c>
      <c r="F88" s="80">
        <v>2012</v>
      </c>
      <c r="G88" s="80" t="s">
        <v>262</v>
      </c>
      <c r="H88" s="410"/>
      <c r="I88" s="410"/>
      <c r="J88" s="410"/>
      <c r="K88" s="413"/>
      <c r="L88" s="89" t="s">
        <v>223</v>
      </c>
      <c r="M88" s="88" t="s">
        <v>192</v>
      </c>
      <c r="N88" s="88" t="s">
        <v>201</v>
      </c>
      <c r="O88" s="58"/>
      <c r="P88" s="33"/>
      <c r="Q88" s="33">
        <v>2</v>
      </c>
      <c r="R88" s="33">
        <v>1</v>
      </c>
      <c r="S88" s="33">
        <v>1</v>
      </c>
      <c r="T88" s="33">
        <v>2</v>
      </c>
      <c r="U88" s="34">
        <v>2</v>
      </c>
      <c r="V88" s="35">
        <f>AVERAGE(Q88:U88)</f>
        <v>1.6</v>
      </c>
      <c r="W88" s="33">
        <v>5</v>
      </c>
      <c r="X88" s="36">
        <f t="shared" si="11"/>
        <v>1.5999999999999999</v>
      </c>
      <c r="Y88" s="6"/>
      <c r="Z88" s="63"/>
      <c r="AA88" s="63"/>
      <c r="AB88" s="63"/>
      <c r="AC88" s="63"/>
      <c r="AD88" s="63"/>
      <c r="AE88" s="63"/>
      <c r="AF88" s="6"/>
      <c r="AG88" s="6"/>
      <c r="AH88" s="6"/>
      <c r="AI88" s="6"/>
      <c r="AJ88" s="6"/>
    </row>
    <row r="89" spans="1:36" s="1" customFormat="1" x14ac:dyDescent="0.2">
      <c r="B89" s="31" t="s">
        <v>88</v>
      </c>
      <c r="C89" s="32" t="s">
        <v>32</v>
      </c>
      <c r="D89" s="31" t="s">
        <v>98</v>
      </c>
      <c r="E89" s="33" t="s">
        <v>19</v>
      </c>
      <c r="F89" s="32">
        <v>2012</v>
      </c>
      <c r="G89" s="32" t="s">
        <v>262</v>
      </c>
      <c r="H89" s="411"/>
      <c r="I89" s="411"/>
      <c r="J89" s="411"/>
      <c r="K89" s="414"/>
      <c r="L89" s="75" t="s">
        <v>226</v>
      </c>
      <c r="M89" s="77" t="s">
        <v>192</v>
      </c>
      <c r="N89" s="77" t="s">
        <v>193</v>
      </c>
      <c r="O89" s="58"/>
      <c r="P89" s="33"/>
      <c r="Q89" s="33">
        <v>3</v>
      </c>
      <c r="R89" s="33">
        <v>1</v>
      </c>
      <c r="S89" s="33">
        <v>1</v>
      </c>
      <c r="T89" s="33">
        <v>3</v>
      </c>
      <c r="U89" s="34">
        <v>3</v>
      </c>
      <c r="V89" s="35">
        <f>AVERAGE(Q89:U89)</f>
        <v>2.2000000000000002</v>
      </c>
      <c r="W89" s="33">
        <v>5</v>
      </c>
      <c r="X89" s="36">
        <f t="shared" si="11"/>
        <v>2.1999999999999997</v>
      </c>
      <c r="Y89" s="6"/>
      <c r="Z89" s="63"/>
      <c r="AA89" s="63"/>
      <c r="AB89" s="63"/>
      <c r="AC89" s="63"/>
      <c r="AD89" s="63"/>
      <c r="AE89" s="63"/>
      <c r="AF89" s="6"/>
      <c r="AG89" s="6"/>
      <c r="AH89" s="6"/>
      <c r="AI89" s="6"/>
      <c r="AJ89" s="6"/>
    </row>
    <row r="90" spans="1:36" s="1" customFormat="1" x14ac:dyDescent="0.2">
      <c r="B90" s="41" t="s">
        <v>99</v>
      </c>
      <c r="C90" s="42"/>
      <c r="D90" s="42"/>
      <c r="E90" s="42"/>
      <c r="F90" s="42"/>
      <c r="G90" s="42"/>
      <c r="H90" s="119"/>
      <c r="I90" s="119"/>
      <c r="J90" s="119"/>
      <c r="K90" s="119"/>
      <c r="L90" s="95"/>
      <c r="M90" s="118"/>
      <c r="N90" s="118"/>
      <c r="O90" s="135"/>
      <c r="P90" s="42"/>
      <c r="Q90" s="42"/>
      <c r="R90" s="42"/>
      <c r="S90" s="42"/>
      <c r="T90" s="42"/>
      <c r="U90" s="42"/>
      <c r="V90" s="42"/>
      <c r="W90" s="42"/>
      <c r="X90" s="43"/>
      <c r="Y90" s="6"/>
      <c r="Z90" s="63"/>
      <c r="AA90" s="63"/>
      <c r="AB90" s="63"/>
      <c r="AC90" s="63"/>
      <c r="AD90" s="63"/>
      <c r="AE90" s="63"/>
      <c r="AF90" s="6"/>
      <c r="AG90" s="6"/>
      <c r="AH90" s="6"/>
      <c r="AI90" s="6"/>
      <c r="AJ90" s="6"/>
    </row>
    <row r="91" spans="1:36" s="1" customFormat="1" x14ac:dyDescent="0.2">
      <c r="B91" s="81" t="s">
        <v>95</v>
      </c>
      <c r="C91" s="80" t="s">
        <v>32</v>
      </c>
      <c r="D91" s="81" t="s">
        <v>96</v>
      </c>
      <c r="E91" s="33" t="s">
        <v>19</v>
      </c>
      <c r="F91" s="32">
        <v>2012</v>
      </c>
      <c r="G91" s="32" t="s">
        <v>262</v>
      </c>
      <c r="H91" s="409">
        <v>0</v>
      </c>
      <c r="I91" s="409">
        <v>0</v>
      </c>
      <c r="J91" s="409">
        <v>0</v>
      </c>
      <c r="K91" s="409">
        <v>4.1999999999999997E-3</v>
      </c>
      <c r="L91" s="89" t="s">
        <v>234</v>
      </c>
      <c r="M91" s="88" t="s">
        <v>29</v>
      </c>
      <c r="N91" s="88" t="s">
        <v>201</v>
      </c>
      <c r="O91" s="31"/>
      <c r="P91" s="33"/>
      <c r="Q91" s="53">
        <v>3</v>
      </c>
      <c r="R91" s="33">
        <v>1</v>
      </c>
      <c r="S91" s="33">
        <v>1</v>
      </c>
      <c r="T91" s="33">
        <v>3</v>
      </c>
      <c r="U91" s="34">
        <v>3</v>
      </c>
      <c r="V91" s="35">
        <f>AVERAGE(Q91:U91)</f>
        <v>2.2000000000000002</v>
      </c>
      <c r="W91" s="33">
        <v>5</v>
      </c>
      <c r="X91" s="36">
        <f t="shared" si="11"/>
        <v>2.1999999999999997</v>
      </c>
      <c r="Y91" s="6"/>
      <c r="Z91" s="63"/>
      <c r="AA91" s="63"/>
      <c r="AB91" s="63"/>
      <c r="AC91" s="63"/>
      <c r="AD91" s="63"/>
      <c r="AE91" s="63"/>
      <c r="AF91" s="6"/>
      <c r="AG91" s="6"/>
      <c r="AH91" s="6"/>
      <c r="AI91" s="6"/>
      <c r="AJ91" s="6"/>
    </row>
    <row r="92" spans="1:36" s="1" customFormat="1" x14ac:dyDescent="0.2">
      <c r="B92" s="81" t="s">
        <v>86</v>
      </c>
      <c r="C92" s="80" t="s">
        <v>32</v>
      </c>
      <c r="D92" s="81" t="s">
        <v>97</v>
      </c>
      <c r="E92" s="33" t="s">
        <v>19</v>
      </c>
      <c r="F92" s="32">
        <v>2012</v>
      </c>
      <c r="G92" s="32" t="s">
        <v>262</v>
      </c>
      <c r="H92" s="410"/>
      <c r="I92" s="410"/>
      <c r="J92" s="410"/>
      <c r="K92" s="410"/>
      <c r="L92" s="89" t="s">
        <v>223</v>
      </c>
      <c r="M92" s="88" t="s">
        <v>192</v>
      </c>
      <c r="N92" s="88" t="s">
        <v>201</v>
      </c>
      <c r="O92" s="31"/>
      <c r="P92" s="33"/>
      <c r="Q92" s="33">
        <v>2</v>
      </c>
      <c r="R92" s="33">
        <v>1</v>
      </c>
      <c r="S92" s="33">
        <v>1</v>
      </c>
      <c r="T92" s="33">
        <v>2</v>
      </c>
      <c r="U92" s="34">
        <v>2</v>
      </c>
      <c r="V92" s="35">
        <f>AVERAGE(Q92:U92)</f>
        <v>1.6</v>
      </c>
      <c r="W92" s="33">
        <v>5</v>
      </c>
      <c r="X92" s="36">
        <f t="shared" si="11"/>
        <v>1.5999999999999999</v>
      </c>
      <c r="Y92" s="6"/>
      <c r="Z92" s="63"/>
      <c r="AA92" s="63"/>
      <c r="AB92" s="63"/>
      <c r="AC92" s="63"/>
      <c r="AD92" s="63"/>
      <c r="AE92" s="63"/>
      <c r="AF92" s="6"/>
      <c r="AG92" s="6"/>
      <c r="AH92" s="6"/>
      <c r="AI92" s="6"/>
      <c r="AJ92" s="6"/>
    </row>
    <row r="93" spans="1:36" s="1" customFormat="1" x14ac:dyDescent="0.2">
      <c r="B93" s="31" t="s">
        <v>88</v>
      </c>
      <c r="C93" s="32" t="s">
        <v>32</v>
      </c>
      <c r="D93" s="31" t="s">
        <v>98</v>
      </c>
      <c r="E93" s="33" t="s">
        <v>19</v>
      </c>
      <c r="F93" s="32">
        <v>2012</v>
      </c>
      <c r="G93" s="32" t="s">
        <v>262</v>
      </c>
      <c r="H93" s="410"/>
      <c r="I93" s="410"/>
      <c r="J93" s="410"/>
      <c r="K93" s="410"/>
      <c r="L93" s="75" t="s">
        <v>226</v>
      </c>
      <c r="M93" s="77" t="s">
        <v>192</v>
      </c>
      <c r="N93" s="77" t="s">
        <v>193</v>
      </c>
      <c r="O93" s="31"/>
      <c r="P93" s="33"/>
      <c r="Q93" s="33">
        <v>3</v>
      </c>
      <c r="R93" s="33">
        <v>1</v>
      </c>
      <c r="S93" s="33">
        <v>1</v>
      </c>
      <c r="T93" s="33">
        <v>3</v>
      </c>
      <c r="U93" s="34">
        <v>3</v>
      </c>
      <c r="V93" s="35">
        <f>AVERAGE(Q93:U93)</f>
        <v>2.2000000000000002</v>
      </c>
      <c r="W93" s="33">
        <v>5</v>
      </c>
      <c r="X93" s="36">
        <f t="shared" si="11"/>
        <v>2.1999999999999997</v>
      </c>
      <c r="Y93" s="6"/>
      <c r="Z93" s="63"/>
      <c r="AA93" s="63"/>
      <c r="AB93" s="63"/>
      <c r="AC93" s="63"/>
      <c r="AD93" s="63"/>
      <c r="AE93" s="63"/>
      <c r="AF93" s="6"/>
      <c r="AG93" s="6"/>
      <c r="AH93" s="6"/>
      <c r="AI93" s="6"/>
      <c r="AJ93" s="6"/>
    </row>
    <row r="94" spans="1:36" s="1" customFormat="1" x14ac:dyDescent="0.2">
      <c r="B94" s="79" t="s">
        <v>100</v>
      </c>
      <c r="C94" s="80" t="s">
        <v>20</v>
      </c>
      <c r="D94" s="121" t="s">
        <v>101</v>
      </c>
      <c r="E94" s="33" t="s">
        <v>19</v>
      </c>
      <c r="F94" s="32">
        <v>2012</v>
      </c>
      <c r="G94" s="32" t="s">
        <v>262</v>
      </c>
      <c r="H94" s="411"/>
      <c r="I94" s="411"/>
      <c r="J94" s="411"/>
      <c r="K94" s="411"/>
      <c r="L94" s="15" t="s">
        <v>203</v>
      </c>
      <c r="M94" s="11" t="s">
        <v>29</v>
      </c>
      <c r="N94" s="11" t="s">
        <v>201</v>
      </c>
      <c r="O94" s="31"/>
      <c r="P94" s="33"/>
      <c r="Q94" s="53">
        <v>3</v>
      </c>
      <c r="R94" s="33">
        <v>1</v>
      </c>
      <c r="S94" s="33">
        <v>2</v>
      </c>
      <c r="T94" s="33">
        <v>3</v>
      </c>
      <c r="U94" s="34">
        <v>3</v>
      </c>
      <c r="V94" s="35">
        <f>AVERAGE(Q94:U94)</f>
        <v>2.4</v>
      </c>
      <c r="W94" s="33">
        <v>5</v>
      </c>
      <c r="X94" s="36">
        <f t="shared" si="11"/>
        <v>2.4</v>
      </c>
      <c r="Y94" s="6"/>
      <c r="Z94" s="63"/>
      <c r="AA94" s="63"/>
      <c r="AB94" s="63"/>
      <c r="AC94" s="63"/>
      <c r="AD94" s="63"/>
      <c r="AE94" s="63"/>
      <c r="AF94" s="6"/>
      <c r="AG94" s="6"/>
      <c r="AH94" s="6"/>
      <c r="AI94" s="6"/>
      <c r="AJ94" s="6"/>
    </row>
    <row r="95" spans="1:36" s="1" customFormat="1" x14ac:dyDescent="0.2">
      <c r="B95" s="41" t="s">
        <v>102</v>
      </c>
      <c r="C95" s="42"/>
      <c r="D95" s="42"/>
      <c r="E95" s="42"/>
      <c r="F95" s="42"/>
      <c r="G95" s="42"/>
      <c r="H95" s="119"/>
      <c r="I95" s="119"/>
      <c r="J95" s="119"/>
      <c r="K95" s="119"/>
      <c r="L95" s="42"/>
      <c r="M95" s="119"/>
      <c r="N95" s="119"/>
      <c r="O95" s="135"/>
      <c r="P95" s="42"/>
      <c r="Q95" s="42"/>
      <c r="R95" s="42"/>
      <c r="S95" s="42"/>
      <c r="T95" s="42"/>
      <c r="U95" s="42"/>
      <c r="V95" s="42"/>
      <c r="W95" s="42"/>
      <c r="X95" s="43"/>
      <c r="Y95" s="6"/>
      <c r="Z95" s="63"/>
      <c r="AA95" s="63"/>
      <c r="AB95" s="63"/>
      <c r="AC95" s="63"/>
      <c r="AD95" s="63"/>
      <c r="AE95" s="63"/>
      <c r="AF95" s="6"/>
      <c r="AG95" s="6"/>
      <c r="AH95" s="6"/>
      <c r="AI95" s="6"/>
      <c r="AJ95" s="6"/>
    </row>
    <row r="96" spans="1:36" s="1" customFormat="1" ht="14.45" customHeight="1" x14ac:dyDescent="0.2">
      <c r="B96" s="49" t="s">
        <v>104</v>
      </c>
      <c r="C96" s="198" t="s">
        <v>29</v>
      </c>
      <c r="D96" s="49" t="s">
        <v>105</v>
      </c>
      <c r="E96" s="33" t="s">
        <v>106</v>
      </c>
      <c r="F96" s="54" t="s">
        <v>107</v>
      </c>
      <c r="G96" s="54" t="s">
        <v>262</v>
      </c>
      <c r="H96" s="54">
        <v>0.59</v>
      </c>
      <c r="I96" s="54">
        <v>0.59</v>
      </c>
      <c r="J96" s="54">
        <v>0.59</v>
      </c>
      <c r="K96" s="54">
        <v>0</v>
      </c>
      <c r="L96" s="211" t="s">
        <v>105</v>
      </c>
      <c r="M96" s="212" t="s">
        <v>192</v>
      </c>
      <c r="N96" s="138" t="s">
        <v>198</v>
      </c>
      <c r="O96" s="137" t="s">
        <v>199</v>
      </c>
      <c r="P96" s="34"/>
      <c r="Q96" s="52">
        <v>3</v>
      </c>
      <c r="R96" s="33">
        <v>2</v>
      </c>
      <c r="S96" s="33">
        <v>2</v>
      </c>
      <c r="T96" s="33">
        <v>3</v>
      </c>
      <c r="U96" s="34">
        <v>3</v>
      </c>
      <c r="V96" s="35">
        <f>AVERAGE(Q96:U96)</f>
        <v>2.6</v>
      </c>
      <c r="W96" s="33">
        <v>5</v>
      </c>
      <c r="X96" s="36">
        <f t="shared" ref="X96" si="12">AVERAGE(Q96:V96)</f>
        <v>2.6</v>
      </c>
      <c r="Y96" s="6"/>
      <c r="Z96" s="63"/>
      <c r="AA96" s="63"/>
      <c r="AB96" s="63"/>
      <c r="AC96" s="63"/>
      <c r="AD96" s="63"/>
      <c r="AE96" s="63"/>
      <c r="AF96" s="6"/>
      <c r="AG96" s="6"/>
      <c r="AH96" s="6"/>
      <c r="AI96" s="6"/>
      <c r="AJ96" s="6"/>
    </row>
    <row r="97" spans="1:36" s="1" customFormat="1" x14ac:dyDescent="0.2">
      <c r="B97" s="41" t="s">
        <v>108</v>
      </c>
      <c r="C97" s="42"/>
      <c r="D97" s="42"/>
      <c r="E97" s="42"/>
      <c r="F97" s="42"/>
      <c r="G97" s="42"/>
      <c r="H97" s="119"/>
      <c r="I97" s="119"/>
      <c r="J97" s="119"/>
      <c r="K97" s="119"/>
      <c r="L97" s="93"/>
      <c r="M97" s="115"/>
      <c r="N97" s="115"/>
      <c r="O97" s="135"/>
      <c r="P97" s="42"/>
      <c r="Q97" s="42"/>
      <c r="R97" s="42"/>
      <c r="S97" s="42"/>
      <c r="T97" s="42"/>
      <c r="U97" s="42"/>
      <c r="V97" s="42"/>
      <c r="W97" s="42"/>
      <c r="X97" s="43"/>
      <c r="Y97" s="6"/>
      <c r="Z97" s="63"/>
      <c r="AA97" s="63"/>
      <c r="AB97" s="63"/>
      <c r="AC97" s="63"/>
      <c r="AD97" s="63"/>
      <c r="AE97" s="63"/>
      <c r="AF97" s="6"/>
      <c r="AG97" s="6"/>
      <c r="AH97" s="6"/>
      <c r="AI97" s="6"/>
      <c r="AJ97" s="6"/>
    </row>
    <row r="98" spans="1:36" s="1" customFormat="1" x14ac:dyDescent="0.2">
      <c r="B98" s="31" t="s">
        <v>82</v>
      </c>
      <c r="C98" s="32" t="s">
        <v>20</v>
      </c>
      <c r="D98" s="31" t="s">
        <v>83</v>
      </c>
      <c r="E98" s="33" t="s">
        <v>19</v>
      </c>
      <c r="F98" s="32">
        <v>2012</v>
      </c>
      <c r="G98" s="32" t="s">
        <v>262</v>
      </c>
      <c r="H98" s="409">
        <v>3.0000000000000001E-3</v>
      </c>
      <c r="I98" s="409">
        <v>1.2E-2</v>
      </c>
      <c r="J98" s="409">
        <v>0</v>
      </c>
      <c r="K98" s="412">
        <v>1.7999999999999999E-2</v>
      </c>
      <c r="L98" s="97" t="s">
        <v>195</v>
      </c>
      <c r="M98" s="77" t="s">
        <v>192</v>
      </c>
      <c r="N98" s="77" t="s">
        <v>193</v>
      </c>
      <c r="O98" s="58"/>
      <c r="P98" s="33"/>
      <c r="Q98" s="33">
        <v>2</v>
      </c>
      <c r="R98" s="33">
        <v>1</v>
      </c>
      <c r="S98" s="33">
        <v>2</v>
      </c>
      <c r="T98" s="33">
        <v>2</v>
      </c>
      <c r="U98" s="34">
        <v>2</v>
      </c>
      <c r="V98" s="35">
        <f>AVERAGE(Q98:U98)</f>
        <v>1.8</v>
      </c>
      <c r="W98" s="33">
        <v>5</v>
      </c>
      <c r="X98" s="36">
        <f t="shared" ref="X98:X108" si="13">AVERAGE(Q98:V98)</f>
        <v>1.8</v>
      </c>
      <c r="Y98" s="6"/>
      <c r="Z98" s="63"/>
      <c r="AA98" s="63"/>
      <c r="AB98" s="63"/>
      <c r="AC98" s="63"/>
      <c r="AD98" s="63"/>
      <c r="AE98" s="63"/>
      <c r="AF98" s="6"/>
      <c r="AG98" s="6"/>
      <c r="AH98" s="6"/>
      <c r="AI98" s="6"/>
      <c r="AJ98" s="6"/>
    </row>
    <row r="99" spans="1:36" s="1" customFormat="1" x14ac:dyDescent="0.2">
      <c r="B99" s="31" t="s">
        <v>89</v>
      </c>
      <c r="C99" s="32" t="s">
        <v>32</v>
      </c>
      <c r="D99" s="31" t="s">
        <v>33</v>
      </c>
      <c r="E99" s="33" t="s">
        <v>19</v>
      </c>
      <c r="F99" s="32">
        <v>2012</v>
      </c>
      <c r="G99" s="32" t="s">
        <v>262</v>
      </c>
      <c r="H99" s="410"/>
      <c r="I99" s="410"/>
      <c r="J99" s="410"/>
      <c r="K99" s="413"/>
      <c r="L99" s="75" t="s">
        <v>231</v>
      </c>
      <c r="M99" s="77" t="s">
        <v>192</v>
      </c>
      <c r="N99" s="77" t="s">
        <v>193</v>
      </c>
      <c r="O99" s="58"/>
      <c r="P99" s="33"/>
      <c r="Q99" s="33">
        <v>3</v>
      </c>
      <c r="R99" s="33">
        <v>1</v>
      </c>
      <c r="S99" s="33">
        <v>1</v>
      </c>
      <c r="T99" s="33">
        <v>3</v>
      </c>
      <c r="U99" s="34">
        <v>3</v>
      </c>
      <c r="V99" s="35">
        <f>AVERAGE(Q99:U99)</f>
        <v>2.2000000000000002</v>
      </c>
      <c r="W99" s="33">
        <v>5</v>
      </c>
      <c r="X99" s="36">
        <f t="shared" si="13"/>
        <v>2.1999999999999997</v>
      </c>
      <c r="Y99" s="6"/>
      <c r="Z99" s="63"/>
      <c r="AA99" s="63"/>
      <c r="AB99" s="63"/>
      <c r="AC99" s="63"/>
      <c r="AD99" s="63"/>
      <c r="AE99" s="63"/>
      <c r="AF99" s="6"/>
      <c r="AG99" s="6"/>
      <c r="AH99" s="6"/>
      <c r="AI99" s="6"/>
      <c r="AJ99" s="6"/>
    </row>
    <row r="100" spans="1:36" s="4" customFormat="1" x14ac:dyDescent="0.2">
      <c r="A100" s="3"/>
      <c r="B100" s="103" t="s">
        <v>48</v>
      </c>
      <c r="C100" s="104" t="s">
        <v>29</v>
      </c>
      <c r="D100" s="103" t="s">
        <v>49</v>
      </c>
      <c r="E100" s="33" t="s">
        <v>50</v>
      </c>
      <c r="F100" s="32">
        <v>2007</v>
      </c>
      <c r="G100" s="32" t="s">
        <v>262</v>
      </c>
      <c r="H100" s="411"/>
      <c r="I100" s="411"/>
      <c r="J100" s="411"/>
      <c r="K100" s="414"/>
      <c r="L100" s="140" t="s">
        <v>198</v>
      </c>
      <c r="M100" s="141" t="s">
        <v>198</v>
      </c>
      <c r="N100" s="141" t="s">
        <v>198</v>
      </c>
      <c r="O100" s="137"/>
      <c r="P100" s="33"/>
      <c r="Q100" s="33">
        <v>1</v>
      </c>
      <c r="R100" s="33">
        <v>2</v>
      </c>
      <c r="S100" s="33">
        <v>2</v>
      </c>
      <c r="T100" s="33">
        <v>2</v>
      </c>
      <c r="U100" s="34">
        <v>1</v>
      </c>
      <c r="V100" s="35">
        <f>AVERAGE(Q100:U100)</f>
        <v>1.6</v>
      </c>
      <c r="W100" s="33">
        <v>5</v>
      </c>
      <c r="X100" s="36">
        <f t="shared" si="13"/>
        <v>1.5999999999999999</v>
      </c>
      <c r="Y100" s="67"/>
      <c r="Z100" s="68"/>
      <c r="AA100" s="68"/>
      <c r="AB100" s="68"/>
      <c r="AC100" s="68"/>
      <c r="AD100" s="68"/>
      <c r="AE100" s="68"/>
      <c r="AF100" s="68"/>
      <c r="AG100" s="68"/>
      <c r="AH100" s="68"/>
      <c r="AI100" s="68"/>
      <c r="AJ100" s="68"/>
    </row>
    <row r="101" spans="1:36" s="1" customFormat="1" x14ac:dyDescent="0.2">
      <c r="B101" s="41" t="s">
        <v>109</v>
      </c>
      <c r="C101" s="42"/>
      <c r="D101" s="42"/>
      <c r="E101" s="42"/>
      <c r="F101" s="42"/>
      <c r="G101" s="42"/>
      <c r="H101" s="119"/>
      <c r="I101" s="119"/>
      <c r="J101" s="119"/>
      <c r="K101" s="119"/>
      <c r="L101" s="42"/>
      <c r="M101" s="119"/>
      <c r="N101" s="119"/>
      <c r="O101" s="135"/>
      <c r="P101" s="42"/>
      <c r="Q101" s="42"/>
      <c r="R101" s="42"/>
      <c r="S101" s="42"/>
      <c r="T101" s="42"/>
      <c r="U101" s="42"/>
      <c r="V101" s="42"/>
      <c r="W101" s="42"/>
      <c r="X101" s="43"/>
      <c r="Y101" s="6"/>
      <c r="Z101" s="63"/>
      <c r="AA101" s="63"/>
      <c r="AB101" s="63"/>
      <c r="AC101" s="63"/>
      <c r="AD101" s="63"/>
      <c r="AE101" s="63"/>
      <c r="AF101" s="6"/>
      <c r="AG101" s="6"/>
      <c r="AH101" s="6"/>
      <c r="AI101" s="6"/>
      <c r="AJ101" s="6"/>
    </row>
    <row r="102" spans="1:36" s="1" customFormat="1" x14ac:dyDescent="0.2">
      <c r="B102" s="81" t="s">
        <v>95</v>
      </c>
      <c r="C102" s="80" t="s">
        <v>32</v>
      </c>
      <c r="D102" s="81" t="s">
        <v>96</v>
      </c>
      <c r="E102" s="33" t="s">
        <v>106</v>
      </c>
      <c r="F102" s="32">
        <v>2012</v>
      </c>
      <c r="G102" s="32" t="s">
        <v>262</v>
      </c>
      <c r="H102" s="32">
        <v>3.6999999999999998E-2</v>
      </c>
      <c r="I102" s="32">
        <v>1.4E-2</v>
      </c>
      <c r="J102" s="32">
        <v>0</v>
      </c>
      <c r="K102" s="32">
        <v>5.7000000000000002E-2</v>
      </c>
      <c r="L102" s="14" t="s">
        <v>234</v>
      </c>
      <c r="M102" s="11" t="s">
        <v>29</v>
      </c>
      <c r="N102" s="11" t="s">
        <v>201</v>
      </c>
      <c r="O102" s="31"/>
      <c r="P102" s="33"/>
      <c r="Q102" s="53">
        <v>3</v>
      </c>
      <c r="R102" s="33">
        <v>1</v>
      </c>
      <c r="S102" s="33">
        <v>1</v>
      </c>
      <c r="T102" s="33">
        <v>3</v>
      </c>
      <c r="U102" s="34">
        <v>3</v>
      </c>
      <c r="V102" s="35">
        <f>AVERAGE(Q102:U102)</f>
        <v>2.2000000000000002</v>
      </c>
      <c r="W102" s="33">
        <v>5</v>
      </c>
      <c r="X102" s="36">
        <f t="shared" si="13"/>
        <v>2.1999999999999997</v>
      </c>
      <c r="Y102" s="6"/>
      <c r="Z102" s="63"/>
      <c r="AA102" s="63"/>
      <c r="AB102" s="63"/>
      <c r="AC102" s="63"/>
      <c r="AD102" s="63"/>
      <c r="AE102" s="63"/>
      <c r="AF102" s="6"/>
      <c r="AG102" s="6"/>
      <c r="AH102" s="6"/>
      <c r="AI102" s="6"/>
      <c r="AJ102" s="6"/>
    </row>
    <row r="103" spans="1:36" s="1" customFormat="1" x14ac:dyDescent="0.2">
      <c r="B103" s="41" t="s">
        <v>110</v>
      </c>
      <c r="C103" s="42"/>
      <c r="D103" s="42"/>
      <c r="E103" s="42"/>
      <c r="F103" s="42"/>
      <c r="G103" s="42"/>
      <c r="H103" s="119"/>
      <c r="I103" s="119"/>
      <c r="J103" s="119"/>
      <c r="K103" s="119"/>
      <c r="L103" s="93"/>
      <c r="M103" s="115"/>
      <c r="N103" s="115"/>
      <c r="O103" s="135"/>
      <c r="P103" s="42"/>
      <c r="Q103" s="42"/>
      <c r="R103" s="42"/>
      <c r="S103" s="42"/>
      <c r="T103" s="42"/>
      <c r="U103" s="42"/>
      <c r="V103" s="42"/>
      <c r="W103" s="42"/>
      <c r="X103" s="43"/>
      <c r="Y103" s="6"/>
      <c r="Z103" s="63"/>
      <c r="AA103" s="63"/>
      <c r="AB103" s="63"/>
      <c r="AC103" s="63"/>
      <c r="AD103" s="63"/>
      <c r="AE103" s="63"/>
      <c r="AF103" s="6"/>
      <c r="AG103" s="6"/>
      <c r="AH103" s="6"/>
      <c r="AI103" s="6"/>
      <c r="AJ103" s="6"/>
    </row>
    <row r="104" spans="1:36" s="1" customFormat="1" x14ac:dyDescent="0.2">
      <c r="B104" s="31" t="s">
        <v>111</v>
      </c>
      <c r="C104" s="32" t="s">
        <v>32</v>
      </c>
      <c r="D104" s="31" t="s">
        <v>112</v>
      </c>
      <c r="E104" s="33" t="s">
        <v>19</v>
      </c>
      <c r="F104" s="32">
        <v>2012</v>
      </c>
      <c r="G104" s="32" t="s">
        <v>262</v>
      </c>
      <c r="H104" s="409">
        <v>0</v>
      </c>
      <c r="I104" s="409">
        <v>0</v>
      </c>
      <c r="J104" s="409">
        <v>0</v>
      </c>
      <c r="K104" s="412">
        <v>0.2195</v>
      </c>
      <c r="L104" s="142" t="s">
        <v>191</v>
      </c>
      <c r="M104" s="77" t="s">
        <v>192</v>
      </c>
      <c r="N104" s="77" t="s">
        <v>193</v>
      </c>
      <c r="O104" s="58"/>
      <c r="P104" s="34"/>
      <c r="Q104" s="32">
        <v>2</v>
      </c>
      <c r="R104" s="33">
        <v>1</v>
      </c>
      <c r="S104" s="33">
        <v>1</v>
      </c>
      <c r="T104" s="33">
        <v>2</v>
      </c>
      <c r="U104" s="34">
        <v>2</v>
      </c>
      <c r="V104" s="35">
        <f>AVERAGE(Q104:U104)</f>
        <v>1.6</v>
      </c>
      <c r="W104" s="33">
        <v>5</v>
      </c>
      <c r="X104" s="36">
        <f t="shared" si="13"/>
        <v>1.5999999999999999</v>
      </c>
      <c r="Y104" s="6"/>
      <c r="Z104" s="63"/>
      <c r="AA104" s="63"/>
      <c r="AB104" s="63"/>
      <c r="AC104" s="63"/>
      <c r="AD104" s="63"/>
      <c r="AE104" s="63"/>
      <c r="AF104" s="6"/>
      <c r="AG104" s="6"/>
      <c r="AH104" s="6"/>
      <c r="AI104" s="6"/>
      <c r="AJ104" s="6"/>
    </row>
    <row r="105" spans="1:36" s="1" customFormat="1" x14ac:dyDescent="0.2">
      <c r="B105" s="31" t="s">
        <v>113</v>
      </c>
      <c r="C105" s="32" t="s">
        <v>32</v>
      </c>
      <c r="D105" s="31" t="s">
        <v>114</v>
      </c>
      <c r="E105" s="33" t="s">
        <v>19</v>
      </c>
      <c r="F105" s="32">
        <v>2012</v>
      </c>
      <c r="G105" s="32" t="s">
        <v>262</v>
      </c>
      <c r="H105" s="410"/>
      <c r="I105" s="410"/>
      <c r="J105" s="410"/>
      <c r="K105" s="413"/>
      <c r="L105" s="97" t="s">
        <v>194</v>
      </c>
      <c r="M105" s="77" t="s">
        <v>192</v>
      </c>
      <c r="N105" s="77" t="s">
        <v>193</v>
      </c>
      <c r="O105" s="58"/>
      <c r="P105" s="34"/>
      <c r="Q105" s="32">
        <v>2</v>
      </c>
      <c r="R105" s="33">
        <v>1</v>
      </c>
      <c r="S105" s="33">
        <v>1</v>
      </c>
      <c r="T105" s="33">
        <v>2</v>
      </c>
      <c r="U105" s="34">
        <v>2</v>
      </c>
      <c r="V105" s="35">
        <f>AVERAGE(Q105:U105)</f>
        <v>1.6</v>
      </c>
      <c r="W105" s="33">
        <v>5</v>
      </c>
      <c r="X105" s="36">
        <f t="shared" si="13"/>
        <v>1.5999999999999999</v>
      </c>
      <c r="Y105" s="6"/>
      <c r="Z105" s="63"/>
      <c r="AA105" s="63"/>
      <c r="AB105" s="63"/>
      <c r="AC105" s="63"/>
      <c r="AD105" s="63"/>
      <c r="AE105" s="63"/>
      <c r="AF105" s="6"/>
      <c r="AG105" s="6"/>
      <c r="AH105" s="6"/>
      <c r="AI105" s="6"/>
      <c r="AJ105" s="6"/>
    </row>
    <row r="106" spans="1:36" s="1" customFormat="1" x14ac:dyDescent="0.2">
      <c r="B106" s="31" t="s">
        <v>115</v>
      </c>
      <c r="C106" s="32" t="s">
        <v>32</v>
      </c>
      <c r="D106" s="31" t="s">
        <v>98</v>
      </c>
      <c r="E106" s="33" t="s">
        <v>19</v>
      </c>
      <c r="F106" s="32">
        <v>2012</v>
      </c>
      <c r="G106" s="32" t="s">
        <v>262</v>
      </c>
      <c r="H106" s="410"/>
      <c r="I106" s="410"/>
      <c r="J106" s="410"/>
      <c r="K106" s="413"/>
      <c r="L106" s="75" t="s">
        <v>226</v>
      </c>
      <c r="M106" s="77" t="s">
        <v>192</v>
      </c>
      <c r="N106" s="77" t="s">
        <v>193</v>
      </c>
      <c r="O106" s="58"/>
      <c r="P106" s="34"/>
      <c r="Q106" s="34">
        <v>3</v>
      </c>
      <c r="R106" s="33">
        <v>1</v>
      </c>
      <c r="S106" s="33">
        <v>1</v>
      </c>
      <c r="T106" s="33">
        <v>3</v>
      </c>
      <c r="U106" s="34">
        <v>3</v>
      </c>
      <c r="V106" s="35">
        <f>AVERAGE(Q106:U106)</f>
        <v>2.2000000000000002</v>
      </c>
      <c r="W106" s="33">
        <v>5</v>
      </c>
      <c r="X106" s="36">
        <f t="shared" si="13"/>
        <v>2.1999999999999997</v>
      </c>
      <c r="Y106" s="6"/>
      <c r="Z106" s="63"/>
      <c r="AA106" s="63"/>
      <c r="AB106" s="63"/>
      <c r="AC106" s="63"/>
      <c r="AD106" s="63"/>
      <c r="AE106" s="63"/>
      <c r="AF106" s="6"/>
      <c r="AG106" s="6"/>
      <c r="AH106" s="6"/>
      <c r="AI106" s="6"/>
      <c r="AJ106" s="6"/>
    </row>
    <row r="107" spans="1:36" s="1" customFormat="1" x14ac:dyDescent="0.2">
      <c r="B107" s="31" t="s">
        <v>33</v>
      </c>
      <c r="C107" s="32" t="s">
        <v>32</v>
      </c>
      <c r="D107" s="31" t="s">
        <v>33</v>
      </c>
      <c r="E107" s="33" t="s">
        <v>19</v>
      </c>
      <c r="F107" s="32">
        <v>2012</v>
      </c>
      <c r="G107" s="32" t="s">
        <v>262</v>
      </c>
      <c r="H107" s="410"/>
      <c r="I107" s="410"/>
      <c r="J107" s="410"/>
      <c r="K107" s="413"/>
      <c r="L107" s="75" t="s">
        <v>231</v>
      </c>
      <c r="M107" s="77" t="s">
        <v>192</v>
      </c>
      <c r="N107" s="77" t="s">
        <v>193</v>
      </c>
      <c r="O107" s="58"/>
      <c r="P107" s="34"/>
      <c r="Q107" s="34">
        <v>3</v>
      </c>
      <c r="R107" s="33">
        <v>1</v>
      </c>
      <c r="S107" s="33">
        <v>1</v>
      </c>
      <c r="T107" s="33">
        <v>3</v>
      </c>
      <c r="U107" s="34">
        <v>3</v>
      </c>
      <c r="V107" s="35">
        <f>AVERAGE(Q107:U107)</f>
        <v>2.2000000000000002</v>
      </c>
      <c r="W107" s="33">
        <v>5</v>
      </c>
      <c r="X107" s="36">
        <f t="shared" si="13"/>
        <v>2.1999999999999997</v>
      </c>
      <c r="Y107" s="6"/>
      <c r="Z107" s="63"/>
      <c r="AA107" s="63"/>
      <c r="AB107" s="63"/>
      <c r="AC107" s="63"/>
      <c r="AD107" s="63"/>
      <c r="AE107" s="63"/>
      <c r="AF107" s="6"/>
      <c r="AG107" s="6"/>
      <c r="AH107" s="6"/>
      <c r="AI107" s="6"/>
      <c r="AJ107" s="6"/>
    </row>
    <row r="108" spans="1:36" s="4" customFormat="1" x14ac:dyDescent="0.2">
      <c r="A108" s="3"/>
      <c r="B108" s="103" t="s">
        <v>48</v>
      </c>
      <c r="C108" s="104" t="s">
        <v>29</v>
      </c>
      <c r="D108" s="103" t="s">
        <v>49</v>
      </c>
      <c r="E108" s="33" t="s">
        <v>50</v>
      </c>
      <c r="F108" s="32">
        <v>2007</v>
      </c>
      <c r="G108" s="32" t="s">
        <v>262</v>
      </c>
      <c r="H108" s="411"/>
      <c r="I108" s="411"/>
      <c r="J108" s="411"/>
      <c r="K108" s="414"/>
      <c r="L108" s="140" t="s">
        <v>198</v>
      </c>
      <c r="M108" s="141" t="s">
        <v>198</v>
      </c>
      <c r="N108" s="141" t="s">
        <v>198</v>
      </c>
      <c r="O108" s="137"/>
      <c r="P108" s="33"/>
      <c r="Q108" s="33">
        <v>1</v>
      </c>
      <c r="R108" s="33">
        <v>2</v>
      </c>
      <c r="S108" s="33">
        <v>2</v>
      </c>
      <c r="T108" s="33">
        <v>2</v>
      </c>
      <c r="U108" s="34">
        <v>1</v>
      </c>
      <c r="V108" s="35">
        <f>AVERAGE(Q108:U108)</f>
        <v>1.6</v>
      </c>
      <c r="W108" s="33">
        <v>5</v>
      </c>
      <c r="X108" s="36">
        <f t="shared" si="13"/>
        <v>1.5999999999999999</v>
      </c>
      <c r="Y108" s="67"/>
      <c r="Z108" s="68"/>
      <c r="AA108" s="68"/>
      <c r="AB108" s="68"/>
      <c r="AC108" s="68"/>
      <c r="AD108" s="68"/>
      <c r="AE108" s="68"/>
      <c r="AF108" s="68"/>
      <c r="AG108" s="68"/>
      <c r="AH108" s="68"/>
      <c r="AI108" s="68"/>
      <c r="AJ108" s="68"/>
    </row>
    <row r="110" spans="1:36" x14ac:dyDescent="0.2">
      <c r="X110" s="62" t="e">
        <f>AVERAGE(X33:X36,X38:X53,X55:X63,X65:X68,X71:X78,X80:X84,X87:X89,X91:X94,X96,X98:X100,X102,X104:X108,X15:X23,#REF!,#REF!)</f>
        <v>#REF!</v>
      </c>
    </row>
  </sheetData>
  <mergeCells count="54">
    <mergeCell ref="U11:U12"/>
    <mergeCell ref="V11:V12"/>
    <mergeCell ref="W11:W12"/>
    <mergeCell ref="D2:L2"/>
    <mergeCell ref="B10:B12"/>
    <mergeCell ref="C10:C12"/>
    <mergeCell ref="D10:D12"/>
    <mergeCell ref="E10:E12"/>
    <mergeCell ref="F10:F12"/>
    <mergeCell ref="G10:G12"/>
    <mergeCell ref="H10:K10"/>
    <mergeCell ref="L10:L12"/>
    <mergeCell ref="K55:K58"/>
    <mergeCell ref="X11:X12"/>
    <mergeCell ref="B19:B22"/>
    <mergeCell ref="B33:B34"/>
    <mergeCell ref="B38:B44"/>
    <mergeCell ref="H39:H44"/>
    <mergeCell ref="I39:I44"/>
    <mergeCell ref="J39:J44"/>
    <mergeCell ref="K39:K44"/>
    <mergeCell ref="M10:M12"/>
    <mergeCell ref="N10:N12"/>
    <mergeCell ref="O10:O12"/>
    <mergeCell ref="Q10:X10"/>
    <mergeCell ref="I11:J11"/>
    <mergeCell ref="Q11:S11"/>
    <mergeCell ref="T11:T12"/>
    <mergeCell ref="B45:B46"/>
    <mergeCell ref="B55:B58"/>
    <mergeCell ref="H55:H58"/>
    <mergeCell ref="I55:I58"/>
    <mergeCell ref="J55:J58"/>
    <mergeCell ref="B71:B72"/>
    <mergeCell ref="H71:H72"/>
    <mergeCell ref="I71:I72"/>
    <mergeCell ref="J71:J72"/>
    <mergeCell ref="K71:K72"/>
    <mergeCell ref="H87:H89"/>
    <mergeCell ref="I87:I89"/>
    <mergeCell ref="J87:J89"/>
    <mergeCell ref="K87:K89"/>
    <mergeCell ref="H91:H94"/>
    <mergeCell ref="I91:I94"/>
    <mergeCell ref="J91:J94"/>
    <mergeCell ref="K91:K94"/>
    <mergeCell ref="H104:H108"/>
    <mergeCell ref="I104:I108"/>
    <mergeCell ref="J104:J108"/>
    <mergeCell ref="K104:K108"/>
    <mergeCell ref="H98:H100"/>
    <mergeCell ref="I98:I100"/>
    <mergeCell ref="J98:J100"/>
    <mergeCell ref="K98:K100"/>
  </mergeCells>
  <conditionalFormatting sqref="L38">
    <cfRule type="duplicateValues" dxfId="9" priority="7"/>
    <cfRule type="containsText" dxfId="8" priority="8" operator="containsText" text="Default PEFCR LCI Name">
      <formula>NOT(ISERROR(SEARCH("Default PEFCR LCI Name",L38)))</formula>
    </cfRule>
  </conditionalFormatting>
  <pageMargins left="0.7" right="0.7" top="0.78740157499999996" bottom="0.78740157499999996" header="0.3" footer="0.3"/>
  <pageSetup paperSize="9"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M163"/>
  <sheetViews>
    <sheetView workbookViewId="0"/>
  </sheetViews>
  <sheetFormatPr defaultColWidth="11" defaultRowHeight="14.25" x14ac:dyDescent="0.2"/>
  <cols>
    <col min="1" max="1" width="3.375" customWidth="1"/>
    <col min="2" max="2" width="25.25" style="63" customWidth="1"/>
    <col min="3" max="3" width="11.625" style="63"/>
    <col min="4" max="4" width="39.375" style="252" customWidth="1"/>
    <col min="5" max="5" width="11.625" style="239"/>
    <col min="6" max="6" width="9.625" style="46" customWidth="1"/>
    <col min="7" max="7" width="33.25" style="45" customWidth="1"/>
    <col min="8" max="11" width="11.625" style="239"/>
    <col min="12" max="12" width="11.625" style="242"/>
    <col min="13" max="13" width="11.625" style="63"/>
  </cols>
  <sheetData>
    <row r="1" spans="2:13" x14ac:dyDescent="0.2">
      <c r="E1" s="46"/>
    </row>
    <row r="2" spans="2:13" ht="27.95" customHeight="1" x14ac:dyDescent="0.2">
      <c r="B2" s="469" t="s">
        <v>286</v>
      </c>
      <c r="C2" s="469" t="s">
        <v>287</v>
      </c>
      <c r="D2" s="469" t="s">
        <v>318</v>
      </c>
      <c r="E2" s="467" t="s">
        <v>315</v>
      </c>
      <c r="F2" s="469" t="s">
        <v>288</v>
      </c>
      <c r="G2" s="469" t="s">
        <v>289</v>
      </c>
      <c r="H2" s="470" t="s">
        <v>453</v>
      </c>
      <c r="I2" s="471"/>
      <c r="J2" s="471"/>
      <c r="K2" s="471"/>
      <c r="L2" s="472"/>
      <c r="M2" s="469" t="s">
        <v>290</v>
      </c>
    </row>
    <row r="3" spans="2:13" x14ac:dyDescent="0.2">
      <c r="B3" s="469"/>
      <c r="C3" s="469"/>
      <c r="D3" s="469"/>
      <c r="E3" s="468"/>
      <c r="F3" s="469"/>
      <c r="G3" s="469"/>
      <c r="H3" s="217" t="s">
        <v>291</v>
      </c>
      <c r="I3" s="217" t="s">
        <v>292</v>
      </c>
      <c r="J3" s="217" t="s">
        <v>293</v>
      </c>
      <c r="K3" s="217" t="s">
        <v>294</v>
      </c>
      <c r="L3" s="281" t="s">
        <v>400</v>
      </c>
      <c r="M3" s="469"/>
    </row>
    <row r="4" spans="2:13" x14ac:dyDescent="0.2">
      <c r="B4" s="218" t="s">
        <v>14</v>
      </c>
      <c r="C4" s="219"/>
      <c r="D4" s="219"/>
      <c r="E4" s="220"/>
      <c r="F4" s="220"/>
      <c r="G4" s="219"/>
      <c r="H4" s="220"/>
      <c r="I4" s="220"/>
      <c r="J4" s="220"/>
      <c r="K4" s="220"/>
      <c r="L4" s="282"/>
      <c r="M4" s="219"/>
    </row>
    <row r="5" spans="2:13" x14ac:dyDescent="0.2">
      <c r="B5" s="221" t="s">
        <v>116</v>
      </c>
      <c r="C5" s="222"/>
      <c r="D5" s="253"/>
      <c r="E5" s="240"/>
      <c r="F5" s="224"/>
      <c r="G5" s="223"/>
      <c r="H5" s="240"/>
      <c r="I5" s="240"/>
      <c r="J5" s="240"/>
      <c r="K5" s="240"/>
      <c r="L5" s="243"/>
      <c r="M5" s="222"/>
    </row>
    <row r="6" spans="2:13" x14ac:dyDescent="0.2">
      <c r="B6" s="280" t="s">
        <v>258</v>
      </c>
      <c r="C6" s="96" t="s">
        <v>397</v>
      </c>
      <c r="D6" s="254" t="s">
        <v>279</v>
      </c>
      <c r="E6" s="96" t="s">
        <v>265</v>
      </c>
      <c r="F6" s="100" t="s">
        <v>319</v>
      </c>
      <c r="G6" s="264" t="s">
        <v>320</v>
      </c>
      <c r="H6" s="100">
        <v>2</v>
      </c>
      <c r="I6" s="100">
        <v>1</v>
      </c>
      <c r="J6" s="100">
        <v>3</v>
      </c>
      <c r="K6" s="100">
        <v>3</v>
      </c>
      <c r="L6" s="244">
        <f>AVERAGE(H6:K6)</f>
        <v>2.25</v>
      </c>
      <c r="M6" s="209"/>
    </row>
    <row r="7" spans="2:13" x14ac:dyDescent="0.2">
      <c r="B7" s="280" t="s">
        <v>259</v>
      </c>
      <c r="C7" s="96" t="s">
        <v>397</v>
      </c>
      <c r="D7" s="254" t="s">
        <v>279</v>
      </c>
      <c r="E7" s="96" t="s">
        <v>265</v>
      </c>
      <c r="F7" s="100" t="s">
        <v>319</v>
      </c>
      <c r="G7" s="264" t="s">
        <v>320</v>
      </c>
      <c r="H7" s="100">
        <v>2</v>
      </c>
      <c r="I7" s="100">
        <v>1</v>
      </c>
      <c r="J7" s="100">
        <v>3</v>
      </c>
      <c r="K7" s="100">
        <v>3</v>
      </c>
      <c r="L7" s="244">
        <f t="shared" ref="L7:L14" si="0">AVERAGE(H7:K7)</f>
        <v>2.25</v>
      </c>
      <c r="M7" s="209"/>
    </row>
    <row r="8" spans="2:13" ht="13.7" customHeight="1" x14ac:dyDescent="0.2">
      <c r="B8" s="280" t="s">
        <v>260</v>
      </c>
      <c r="C8" s="96" t="s">
        <v>397</v>
      </c>
      <c r="D8" s="254" t="s">
        <v>279</v>
      </c>
      <c r="E8" s="96" t="s">
        <v>265</v>
      </c>
      <c r="F8" s="100" t="s">
        <v>319</v>
      </c>
      <c r="G8" s="264" t="s">
        <v>320</v>
      </c>
      <c r="H8" s="100">
        <v>2</v>
      </c>
      <c r="I8" s="100">
        <v>1</v>
      </c>
      <c r="J8" s="100">
        <v>1</v>
      </c>
      <c r="K8" s="100">
        <v>1</v>
      </c>
      <c r="L8" s="244">
        <f t="shared" si="0"/>
        <v>1.25</v>
      </c>
      <c r="M8" s="209"/>
    </row>
    <row r="9" spans="2:13" x14ac:dyDescent="0.2">
      <c r="B9" s="280" t="s">
        <v>64</v>
      </c>
      <c r="C9" s="96" t="s">
        <v>314</v>
      </c>
      <c r="D9" s="280" t="s">
        <v>117</v>
      </c>
      <c r="E9" s="96" t="s">
        <v>265</v>
      </c>
      <c r="F9" s="100" t="s">
        <v>319</v>
      </c>
      <c r="G9" s="264" t="s">
        <v>322</v>
      </c>
      <c r="H9" s="100">
        <v>2</v>
      </c>
      <c r="I9" s="100">
        <v>1</v>
      </c>
      <c r="J9" s="100">
        <v>1</v>
      </c>
      <c r="K9" s="100">
        <v>1</v>
      </c>
      <c r="L9" s="244">
        <f t="shared" si="0"/>
        <v>1.25</v>
      </c>
      <c r="M9" s="209"/>
    </row>
    <row r="10" spans="2:13" ht="13.7" customHeight="1" x14ac:dyDescent="0.2">
      <c r="B10" s="429" t="s">
        <v>118</v>
      </c>
      <c r="C10" s="96" t="s">
        <v>314</v>
      </c>
      <c r="D10" s="75" t="s">
        <v>211</v>
      </c>
      <c r="E10" s="77" t="s">
        <v>197</v>
      </c>
      <c r="F10" s="100" t="s">
        <v>319</v>
      </c>
      <c r="G10" s="264" t="s">
        <v>323</v>
      </c>
      <c r="H10" s="100">
        <v>2</v>
      </c>
      <c r="I10" s="100">
        <v>1</v>
      </c>
      <c r="J10" s="100">
        <v>3</v>
      </c>
      <c r="K10" s="100">
        <v>2</v>
      </c>
      <c r="L10" s="244">
        <f t="shared" si="0"/>
        <v>2</v>
      </c>
      <c r="M10" s="209"/>
    </row>
    <row r="11" spans="2:13" x14ac:dyDescent="0.2">
      <c r="B11" s="429"/>
      <c r="C11" s="96" t="s">
        <v>314</v>
      </c>
      <c r="D11" s="75" t="s">
        <v>220</v>
      </c>
      <c r="E11" s="77" t="s">
        <v>197</v>
      </c>
      <c r="F11" s="100" t="s">
        <v>319</v>
      </c>
      <c r="G11" s="264" t="s">
        <v>324</v>
      </c>
      <c r="H11" s="100">
        <v>2</v>
      </c>
      <c r="I11" s="100">
        <v>1</v>
      </c>
      <c r="J11" s="100">
        <v>3</v>
      </c>
      <c r="K11" s="100">
        <v>2</v>
      </c>
      <c r="L11" s="244">
        <f t="shared" si="0"/>
        <v>2</v>
      </c>
      <c r="M11" s="209"/>
    </row>
    <row r="12" spans="2:13" x14ac:dyDescent="0.2">
      <c r="B12" s="429"/>
      <c r="C12" s="96" t="s">
        <v>314</v>
      </c>
      <c r="D12" s="75" t="s">
        <v>219</v>
      </c>
      <c r="E12" s="77" t="s">
        <v>197</v>
      </c>
      <c r="F12" s="100" t="s">
        <v>319</v>
      </c>
      <c r="G12" s="264" t="s">
        <v>325</v>
      </c>
      <c r="H12" s="100">
        <v>2</v>
      </c>
      <c r="I12" s="100">
        <v>1</v>
      </c>
      <c r="J12" s="100">
        <v>3</v>
      </c>
      <c r="K12" s="100">
        <v>2</v>
      </c>
      <c r="L12" s="244">
        <f t="shared" si="0"/>
        <v>2</v>
      </c>
      <c r="M12" s="209"/>
    </row>
    <row r="13" spans="2:13" x14ac:dyDescent="0.2">
      <c r="B13" s="429"/>
      <c r="C13" s="96" t="s">
        <v>314</v>
      </c>
      <c r="D13" s="75" t="s">
        <v>235</v>
      </c>
      <c r="E13" s="77" t="s">
        <v>197</v>
      </c>
      <c r="F13" s="100" t="s">
        <v>319</v>
      </c>
      <c r="G13" s="264" t="s">
        <v>326</v>
      </c>
      <c r="H13" s="100">
        <v>2</v>
      </c>
      <c r="I13" s="100">
        <v>1</v>
      </c>
      <c r="J13" s="100">
        <v>3</v>
      </c>
      <c r="K13" s="100">
        <v>2</v>
      </c>
      <c r="L13" s="244">
        <f t="shared" si="0"/>
        <v>2</v>
      </c>
      <c r="M13" s="209"/>
    </row>
    <row r="14" spans="2:13" ht="13.7" customHeight="1" x14ac:dyDescent="0.2">
      <c r="B14" s="280" t="s">
        <v>122</v>
      </c>
      <c r="C14" s="96" t="s">
        <v>314</v>
      </c>
      <c r="D14" s="75" t="s">
        <v>216</v>
      </c>
      <c r="E14" s="77" t="s">
        <v>192</v>
      </c>
      <c r="F14" s="100" t="s">
        <v>319</v>
      </c>
      <c r="G14" s="264" t="s">
        <v>327</v>
      </c>
      <c r="H14" s="100">
        <v>2</v>
      </c>
      <c r="I14" s="100">
        <v>1</v>
      </c>
      <c r="J14" s="100">
        <v>3</v>
      </c>
      <c r="K14" s="100">
        <v>2</v>
      </c>
      <c r="L14" s="244">
        <f t="shared" si="0"/>
        <v>2</v>
      </c>
      <c r="M14" s="209"/>
    </row>
    <row r="15" spans="2:13" x14ac:dyDescent="0.2">
      <c r="B15" s="225"/>
      <c r="C15" s="225"/>
      <c r="D15" s="255"/>
      <c r="E15" s="226"/>
      <c r="F15" s="226"/>
      <c r="G15" s="226"/>
      <c r="H15" s="226"/>
      <c r="I15" s="226"/>
      <c r="J15" s="226"/>
      <c r="K15" s="226"/>
      <c r="L15" s="245"/>
      <c r="M15" s="226"/>
    </row>
    <row r="16" spans="2:13" x14ac:dyDescent="0.2">
      <c r="B16" s="227" t="s">
        <v>15</v>
      </c>
      <c r="C16" s="227"/>
      <c r="D16" s="256"/>
      <c r="E16" s="228"/>
      <c r="F16" s="228"/>
      <c r="G16" s="228"/>
      <c r="H16" s="228"/>
      <c r="I16" s="228"/>
      <c r="J16" s="228"/>
      <c r="K16" s="228"/>
      <c r="L16" s="246"/>
      <c r="M16" s="228"/>
    </row>
    <row r="17" spans="2:13" x14ac:dyDescent="0.2">
      <c r="B17" s="229" t="s">
        <v>16</v>
      </c>
      <c r="C17" s="229"/>
      <c r="D17" s="235"/>
      <c r="E17" s="230"/>
      <c r="F17" s="230"/>
      <c r="G17" s="230"/>
      <c r="H17" s="230"/>
      <c r="I17" s="230"/>
      <c r="J17" s="230"/>
      <c r="K17" s="230"/>
      <c r="L17" s="247"/>
      <c r="M17" s="230"/>
    </row>
    <row r="18" spans="2:13" x14ac:dyDescent="0.2">
      <c r="B18" s="280" t="s">
        <v>31</v>
      </c>
      <c r="C18" s="96" t="s">
        <v>314</v>
      </c>
      <c r="D18" s="210" t="s">
        <v>31</v>
      </c>
      <c r="E18" s="77" t="s">
        <v>192</v>
      </c>
      <c r="F18" s="100" t="s">
        <v>319</v>
      </c>
      <c r="G18" s="264" t="s">
        <v>328</v>
      </c>
      <c r="H18" s="100">
        <v>2</v>
      </c>
      <c r="I18" s="100">
        <v>1</v>
      </c>
      <c r="J18" s="100">
        <v>4</v>
      </c>
      <c r="K18" s="100">
        <v>4</v>
      </c>
      <c r="L18" s="244">
        <f t="shared" ref="L18:L58" si="1">AVERAGE(H18:K18)</f>
        <v>2.75</v>
      </c>
      <c r="M18" s="209"/>
    </row>
    <row r="19" spans="2:13" s="2" customFormat="1" x14ac:dyDescent="0.2">
      <c r="B19" s="278" t="s">
        <v>27</v>
      </c>
      <c r="C19" s="96" t="s">
        <v>314</v>
      </c>
      <c r="D19" s="75" t="s">
        <v>200</v>
      </c>
      <c r="E19" s="77" t="s">
        <v>29</v>
      </c>
      <c r="F19" s="100" t="s">
        <v>319</v>
      </c>
      <c r="G19" s="264" t="s">
        <v>329</v>
      </c>
      <c r="H19" s="100">
        <v>2</v>
      </c>
      <c r="I19" s="100">
        <v>1</v>
      </c>
      <c r="J19" s="77">
        <v>3</v>
      </c>
      <c r="K19" s="77">
        <v>2</v>
      </c>
      <c r="L19" s="244">
        <f t="shared" si="1"/>
        <v>2</v>
      </c>
      <c r="M19" s="215"/>
    </row>
    <row r="20" spans="2:13" s="2" customFormat="1" x14ac:dyDescent="0.2">
      <c r="B20" s="278" t="s">
        <v>22</v>
      </c>
      <c r="C20" s="96" t="s">
        <v>314</v>
      </c>
      <c r="D20" s="75" t="s">
        <v>204</v>
      </c>
      <c r="E20" s="77" t="s">
        <v>192</v>
      </c>
      <c r="F20" s="100" t="s">
        <v>319</v>
      </c>
      <c r="G20" s="265" t="s">
        <v>330</v>
      </c>
      <c r="H20" s="100">
        <v>2</v>
      </c>
      <c r="I20" s="100">
        <v>1</v>
      </c>
      <c r="J20" s="77">
        <v>4</v>
      </c>
      <c r="K20" s="77">
        <v>4</v>
      </c>
      <c r="L20" s="244">
        <f t="shared" si="1"/>
        <v>2.75</v>
      </c>
      <c r="M20" s="215"/>
    </row>
    <row r="21" spans="2:13" s="2" customFormat="1" x14ac:dyDescent="0.2">
      <c r="B21" s="278" t="s">
        <v>25</v>
      </c>
      <c r="C21" s="96" t="s">
        <v>314</v>
      </c>
      <c r="D21" s="257" t="s">
        <v>196</v>
      </c>
      <c r="E21" s="77" t="s">
        <v>197</v>
      </c>
      <c r="F21" s="100" t="s">
        <v>319</v>
      </c>
      <c r="G21" s="265" t="s">
        <v>331</v>
      </c>
      <c r="H21" s="100">
        <v>2</v>
      </c>
      <c r="I21" s="100">
        <v>1</v>
      </c>
      <c r="J21" s="77">
        <v>4</v>
      </c>
      <c r="K21" s="77">
        <v>4</v>
      </c>
      <c r="L21" s="244">
        <f t="shared" si="1"/>
        <v>2.75</v>
      </c>
      <c r="M21" s="215"/>
    </row>
    <row r="22" spans="2:13" s="2" customFormat="1" x14ac:dyDescent="0.2">
      <c r="B22" s="280" t="s">
        <v>34</v>
      </c>
      <c r="C22" s="96" t="s">
        <v>314</v>
      </c>
      <c r="D22" s="75" t="s">
        <v>214</v>
      </c>
      <c r="E22" s="77" t="s">
        <v>29</v>
      </c>
      <c r="F22" s="100" t="s">
        <v>319</v>
      </c>
      <c r="G22" s="265" t="s">
        <v>332</v>
      </c>
      <c r="H22" s="100">
        <v>2</v>
      </c>
      <c r="I22" s="100">
        <v>1</v>
      </c>
      <c r="J22" s="77">
        <v>3</v>
      </c>
      <c r="K22" s="77">
        <v>2</v>
      </c>
      <c r="L22" s="244">
        <f t="shared" si="1"/>
        <v>2</v>
      </c>
      <c r="M22" s="215"/>
    </row>
    <row r="23" spans="2:13" s="2" customFormat="1" x14ac:dyDescent="0.2">
      <c r="B23" s="280" t="s">
        <v>30</v>
      </c>
      <c r="C23" s="96" t="s">
        <v>314</v>
      </c>
      <c r="D23" s="75" t="s">
        <v>217</v>
      </c>
      <c r="E23" s="77" t="s">
        <v>29</v>
      </c>
      <c r="F23" s="100" t="s">
        <v>319</v>
      </c>
      <c r="G23" s="265" t="s">
        <v>333</v>
      </c>
      <c r="H23" s="100">
        <v>2</v>
      </c>
      <c r="I23" s="100">
        <v>1</v>
      </c>
      <c r="J23" s="77">
        <v>3</v>
      </c>
      <c r="K23" s="77">
        <v>2</v>
      </c>
      <c r="L23" s="244">
        <f t="shared" si="1"/>
        <v>2</v>
      </c>
      <c r="M23" s="215"/>
    </row>
    <row r="24" spans="2:13" s="2" customFormat="1" x14ac:dyDescent="0.2">
      <c r="B24" s="429" t="s">
        <v>17</v>
      </c>
      <c r="C24" s="96" t="s">
        <v>314</v>
      </c>
      <c r="D24" s="75" t="s">
        <v>227</v>
      </c>
      <c r="E24" s="77" t="s">
        <v>29</v>
      </c>
      <c r="F24" s="100" t="s">
        <v>319</v>
      </c>
      <c r="G24" s="265" t="s">
        <v>334</v>
      </c>
      <c r="H24" s="100">
        <v>2</v>
      </c>
      <c r="I24" s="100">
        <v>1</v>
      </c>
      <c r="J24" s="77">
        <v>3</v>
      </c>
      <c r="K24" s="77">
        <v>2</v>
      </c>
      <c r="L24" s="244">
        <f t="shared" si="1"/>
        <v>2</v>
      </c>
      <c r="M24" s="215"/>
    </row>
    <row r="25" spans="2:13" s="2" customFormat="1" x14ac:dyDescent="0.2">
      <c r="B25" s="429"/>
      <c r="C25" s="96" t="s">
        <v>314</v>
      </c>
      <c r="D25" s="75" t="s">
        <v>232</v>
      </c>
      <c r="E25" s="77" t="s">
        <v>29</v>
      </c>
      <c r="F25" s="100" t="s">
        <v>319</v>
      </c>
      <c r="G25" s="265" t="s">
        <v>335</v>
      </c>
      <c r="H25" s="100">
        <v>2</v>
      </c>
      <c r="I25" s="100">
        <v>1</v>
      </c>
      <c r="J25" s="77">
        <v>3</v>
      </c>
      <c r="K25" s="77">
        <v>2</v>
      </c>
      <c r="L25" s="244">
        <f t="shared" si="1"/>
        <v>2</v>
      </c>
      <c r="M25" s="215"/>
    </row>
    <row r="26" spans="2:13" s="2" customFormat="1" x14ac:dyDescent="0.2">
      <c r="B26" s="280" t="s">
        <v>264</v>
      </c>
      <c r="C26" s="96" t="s">
        <v>314</v>
      </c>
      <c r="D26" s="257" t="s">
        <v>242</v>
      </c>
      <c r="E26" s="216" t="s">
        <v>24</v>
      </c>
      <c r="F26" s="100" t="s">
        <v>319</v>
      </c>
      <c r="G26" s="265" t="s">
        <v>336</v>
      </c>
      <c r="H26" s="100">
        <v>2</v>
      </c>
      <c r="I26" s="100">
        <v>1</v>
      </c>
      <c r="J26" s="77">
        <v>1</v>
      </c>
      <c r="K26" s="77">
        <v>2</v>
      </c>
      <c r="L26" s="244">
        <f t="shared" si="1"/>
        <v>1.5</v>
      </c>
      <c r="M26" s="215"/>
    </row>
    <row r="27" spans="2:13" x14ac:dyDescent="0.2">
      <c r="B27" s="280" t="s">
        <v>33</v>
      </c>
      <c r="C27" s="96" t="s">
        <v>314</v>
      </c>
      <c r="D27" s="75" t="s">
        <v>337</v>
      </c>
      <c r="E27" s="77" t="s">
        <v>192</v>
      </c>
      <c r="F27" s="100" t="s">
        <v>319</v>
      </c>
      <c r="G27" s="265" t="s">
        <v>338</v>
      </c>
      <c r="H27" s="100">
        <v>2</v>
      </c>
      <c r="I27" s="100">
        <v>1</v>
      </c>
      <c r="J27" s="100">
        <v>4</v>
      </c>
      <c r="K27" s="100">
        <v>4</v>
      </c>
      <c r="L27" s="244">
        <f t="shared" si="1"/>
        <v>2.75</v>
      </c>
      <c r="M27" s="209"/>
    </row>
    <row r="28" spans="2:13" x14ac:dyDescent="0.2">
      <c r="B28" s="229" t="s">
        <v>36</v>
      </c>
      <c r="C28" s="229"/>
      <c r="D28" s="235"/>
      <c r="E28" s="230"/>
      <c r="F28" s="230"/>
      <c r="G28" s="230"/>
      <c r="H28" s="230"/>
      <c r="I28" s="230"/>
      <c r="J28" s="230"/>
      <c r="K28" s="230"/>
      <c r="L28" s="247"/>
      <c r="M28" s="230"/>
    </row>
    <row r="29" spans="2:13" s="2" customFormat="1" x14ac:dyDescent="0.2">
      <c r="B29" s="464" t="s">
        <v>37</v>
      </c>
      <c r="C29" s="96" t="s">
        <v>397</v>
      </c>
      <c r="D29" s="254" t="s">
        <v>279</v>
      </c>
      <c r="E29" s="77" t="s">
        <v>24</v>
      </c>
      <c r="F29" s="100" t="s">
        <v>319</v>
      </c>
      <c r="G29" s="264" t="s">
        <v>321</v>
      </c>
      <c r="H29" s="100">
        <v>2</v>
      </c>
      <c r="I29" s="100">
        <v>1</v>
      </c>
      <c r="J29" s="77">
        <v>1</v>
      </c>
      <c r="K29" s="77">
        <v>1</v>
      </c>
      <c r="L29" s="244">
        <f t="shared" si="1"/>
        <v>1.25</v>
      </c>
      <c r="M29" s="215"/>
    </row>
    <row r="30" spans="2:13" s="2" customFormat="1" x14ac:dyDescent="0.2">
      <c r="B30" s="464"/>
      <c r="C30" s="96" t="s">
        <v>314</v>
      </c>
      <c r="D30" s="75" t="s">
        <v>215</v>
      </c>
      <c r="E30" s="77" t="s">
        <v>29</v>
      </c>
      <c r="F30" s="100" t="s">
        <v>319</v>
      </c>
      <c r="G30" s="265" t="s">
        <v>339</v>
      </c>
      <c r="H30" s="100">
        <v>2</v>
      </c>
      <c r="I30" s="100">
        <v>1</v>
      </c>
      <c r="J30" s="77">
        <v>3</v>
      </c>
      <c r="K30" s="77">
        <v>2</v>
      </c>
      <c r="L30" s="244">
        <f t="shared" si="1"/>
        <v>2</v>
      </c>
      <c r="M30" s="215"/>
    </row>
    <row r="31" spans="2:13" s="2" customFormat="1" x14ac:dyDescent="0.2">
      <c r="B31" s="464"/>
      <c r="C31" s="96" t="s">
        <v>314</v>
      </c>
      <c r="D31" s="75" t="s">
        <v>218</v>
      </c>
      <c r="E31" s="77" t="s">
        <v>197</v>
      </c>
      <c r="F31" s="100" t="s">
        <v>319</v>
      </c>
      <c r="G31" s="265" t="s">
        <v>340</v>
      </c>
      <c r="H31" s="100">
        <v>2</v>
      </c>
      <c r="I31" s="100">
        <v>1</v>
      </c>
      <c r="J31" s="77">
        <v>4</v>
      </c>
      <c r="K31" s="77">
        <v>4</v>
      </c>
      <c r="L31" s="244">
        <f t="shared" si="1"/>
        <v>2.75</v>
      </c>
      <c r="M31" s="215"/>
    </row>
    <row r="32" spans="2:13" s="2" customFormat="1" x14ac:dyDescent="0.2">
      <c r="B32" s="464"/>
      <c r="C32" s="96" t="s">
        <v>314</v>
      </c>
      <c r="D32" s="75" t="s">
        <v>230</v>
      </c>
      <c r="E32" s="77" t="s">
        <v>197</v>
      </c>
      <c r="F32" s="100" t="s">
        <v>319</v>
      </c>
      <c r="G32" s="265" t="s">
        <v>341</v>
      </c>
      <c r="H32" s="100">
        <v>2</v>
      </c>
      <c r="I32" s="100">
        <v>1</v>
      </c>
      <c r="J32" s="77">
        <v>4</v>
      </c>
      <c r="K32" s="77">
        <v>4</v>
      </c>
      <c r="L32" s="244">
        <f t="shared" si="1"/>
        <v>2.75</v>
      </c>
      <c r="M32" s="215"/>
    </row>
    <row r="33" spans="2:13" s="2" customFormat="1" x14ac:dyDescent="0.2">
      <c r="B33" s="464"/>
      <c r="C33" s="96" t="s">
        <v>314</v>
      </c>
      <c r="D33" s="75" t="s">
        <v>343</v>
      </c>
      <c r="E33" s="77" t="s">
        <v>197</v>
      </c>
      <c r="F33" s="100" t="s">
        <v>319</v>
      </c>
      <c r="G33" s="265" t="s">
        <v>342</v>
      </c>
      <c r="H33" s="100">
        <v>2</v>
      </c>
      <c r="I33" s="100">
        <v>1</v>
      </c>
      <c r="J33" s="77">
        <v>4</v>
      </c>
      <c r="K33" s="77">
        <v>4</v>
      </c>
      <c r="L33" s="244">
        <f t="shared" si="1"/>
        <v>2.75</v>
      </c>
      <c r="M33" s="215"/>
    </row>
    <row r="34" spans="2:13" s="2" customFormat="1" x14ac:dyDescent="0.2">
      <c r="B34" s="464"/>
      <c r="C34" s="96" t="s">
        <v>314</v>
      </c>
      <c r="D34" s="75" t="s">
        <v>212</v>
      </c>
      <c r="E34" s="77" t="s">
        <v>29</v>
      </c>
      <c r="F34" s="100" t="s">
        <v>319</v>
      </c>
      <c r="G34" s="265" t="s">
        <v>344</v>
      </c>
      <c r="H34" s="100">
        <v>2</v>
      </c>
      <c r="I34" s="100">
        <v>1</v>
      </c>
      <c r="J34" s="77">
        <v>3</v>
      </c>
      <c r="K34" s="77">
        <v>2</v>
      </c>
      <c r="L34" s="244">
        <f t="shared" si="1"/>
        <v>2</v>
      </c>
      <c r="M34" s="215"/>
    </row>
    <row r="35" spans="2:13" s="2" customFormat="1" x14ac:dyDescent="0.2">
      <c r="B35" s="464"/>
      <c r="C35" s="96" t="s">
        <v>314</v>
      </c>
      <c r="D35" s="75" t="s">
        <v>200</v>
      </c>
      <c r="E35" s="77" t="s">
        <v>29</v>
      </c>
      <c r="F35" s="100" t="s">
        <v>319</v>
      </c>
      <c r="G35" s="265" t="s">
        <v>329</v>
      </c>
      <c r="H35" s="100">
        <v>2</v>
      </c>
      <c r="I35" s="100">
        <v>1</v>
      </c>
      <c r="J35" s="77">
        <v>3</v>
      </c>
      <c r="K35" s="77">
        <v>2</v>
      </c>
      <c r="L35" s="244">
        <f t="shared" si="1"/>
        <v>2</v>
      </c>
      <c r="M35" s="215"/>
    </row>
    <row r="36" spans="2:13" s="2" customFormat="1" x14ac:dyDescent="0.2">
      <c r="B36" s="429" t="s">
        <v>17</v>
      </c>
      <c r="C36" s="96" t="s">
        <v>314</v>
      </c>
      <c r="D36" s="75" t="s">
        <v>227</v>
      </c>
      <c r="E36" s="77" t="s">
        <v>29</v>
      </c>
      <c r="F36" s="100" t="s">
        <v>319</v>
      </c>
      <c r="G36" s="265" t="s">
        <v>334</v>
      </c>
      <c r="H36" s="100">
        <v>2</v>
      </c>
      <c r="I36" s="100">
        <v>1</v>
      </c>
      <c r="J36" s="77">
        <v>3</v>
      </c>
      <c r="K36" s="77">
        <v>2</v>
      </c>
      <c r="L36" s="244">
        <f t="shared" si="1"/>
        <v>2</v>
      </c>
      <c r="M36" s="215"/>
    </row>
    <row r="37" spans="2:13" s="2" customFormat="1" x14ac:dyDescent="0.2">
      <c r="B37" s="429"/>
      <c r="C37" s="96" t="s">
        <v>314</v>
      </c>
      <c r="D37" s="75" t="s">
        <v>232</v>
      </c>
      <c r="E37" s="77" t="s">
        <v>29</v>
      </c>
      <c r="F37" s="100" t="s">
        <v>319</v>
      </c>
      <c r="G37" s="265" t="s">
        <v>335</v>
      </c>
      <c r="H37" s="100">
        <v>2</v>
      </c>
      <c r="I37" s="100">
        <v>1</v>
      </c>
      <c r="J37" s="77">
        <v>3</v>
      </c>
      <c r="K37" s="77">
        <v>2</v>
      </c>
      <c r="L37" s="244">
        <f t="shared" si="1"/>
        <v>2</v>
      </c>
      <c r="M37" s="215"/>
    </row>
    <row r="38" spans="2:13" s="2" customFormat="1" x14ac:dyDescent="0.2">
      <c r="B38" s="280" t="s">
        <v>45</v>
      </c>
      <c r="C38" s="96" t="s">
        <v>314</v>
      </c>
      <c r="D38" s="257" t="s">
        <v>196</v>
      </c>
      <c r="E38" s="77" t="s">
        <v>197</v>
      </c>
      <c r="F38" s="100" t="s">
        <v>319</v>
      </c>
      <c r="G38" s="265" t="s">
        <v>331</v>
      </c>
      <c r="H38" s="100">
        <v>2</v>
      </c>
      <c r="I38" s="100">
        <v>1</v>
      </c>
      <c r="J38" s="77">
        <v>4</v>
      </c>
      <c r="K38" s="77">
        <v>4</v>
      </c>
      <c r="L38" s="244">
        <f t="shared" si="1"/>
        <v>2.75</v>
      </c>
      <c r="M38" s="215"/>
    </row>
    <row r="39" spans="2:13" s="2" customFormat="1" x14ac:dyDescent="0.2">
      <c r="B39" s="280" t="s">
        <v>47</v>
      </c>
      <c r="C39" s="96" t="s">
        <v>314</v>
      </c>
      <c r="D39" s="75" t="s">
        <v>200</v>
      </c>
      <c r="E39" s="77" t="s">
        <v>29</v>
      </c>
      <c r="F39" s="100" t="s">
        <v>319</v>
      </c>
      <c r="G39" s="265" t="s">
        <v>329</v>
      </c>
      <c r="H39" s="100">
        <v>2</v>
      </c>
      <c r="I39" s="100">
        <v>1</v>
      </c>
      <c r="J39" s="77">
        <v>3</v>
      </c>
      <c r="K39" s="77">
        <v>2</v>
      </c>
      <c r="L39" s="244">
        <f t="shared" si="1"/>
        <v>2</v>
      </c>
      <c r="M39" s="215"/>
    </row>
    <row r="40" spans="2:13" s="2" customFormat="1" x14ac:dyDescent="0.2">
      <c r="B40" s="280" t="s">
        <v>30</v>
      </c>
      <c r="C40" s="96" t="s">
        <v>314</v>
      </c>
      <c r="D40" s="75" t="s">
        <v>500</v>
      </c>
      <c r="E40" s="77" t="s">
        <v>29</v>
      </c>
      <c r="F40" s="100" t="s">
        <v>319</v>
      </c>
      <c r="G40" s="387" t="s">
        <v>499</v>
      </c>
      <c r="H40" s="100">
        <v>2</v>
      </c>
      <c r="I40" s="100">
        <v>1</v>
      </c>
      <c r="J40" s="77">
        <v>3</v>
      </c>
      <c r="K40" s="77">
        <v>2</v>
      </c>
      <c r="L40" s="244">
        <f t="shared" si="1"/>
        <v>2</v>
      </c>
      <c r="M40" s="215"/>
    </row>
    <row r="41" spans="2:13" s="2" customFormat="1" x14ac:dyDescent="0.2">
      <c r="B41" s="280" t="s">
        <v>31</v>
      </c>
      <c r="C41" s="96" t="s">
        <v>314</v>
      </c>
      <c r="D41" s="257" t="s">
        <v>31</v>
      </c>
      <c r="E41" s="77" t="s">
        <v>192</v>
      </c>
      <c r="F41" s="100" t="s">
        <v>319</v>
      </c>
      <c r="G41" s="265" t="s">
        <v>328</v>
      </c>
      <c r="H41" s="100">
        <v>2</v>
      </c>
      <c r="I41" s="100">
        <v>1</v>
      </c>
      <c r="J41" s="77">
        <v>4</v>
      </c>
      <c r="K41" s="77">
        <v>4</v>
      </c>
      <c r="L41" s="244">
        <f t="shared" si="1"/>
        <v>2.75</v>
      </c>
      <c r="M41" s="215"/>
    </row>
    <row r="42" spans="2:13" s="2" customFormat="1" x14ac:dyDescent="0.2">
      <c r="B42" s="280" t="s">
        <v>33</v>
      </c>
      <c r="C42" s="96" t="s">
        <v>314</v>
      </c>
      <c r="D42" s="75" t="s">
        <v>337</v>
      </c>
      <c r="E42" s="77" t="s">
        <v>192</v>
      </c>
      <c r="F42" s="100" t="s">
        <v>319</v>
      </c>
      <c r="G42" s="265" t="s">
        <v>338</v>
      </c>
      <c r="H42" s="100">
        <v>2</v>
      </c>
      <c r="I42" s="100">
        <v>1</v>
      </c>
      <c r="J42" s="77">
        <v>4</v>
      </c>
      <c r="K42" s="77">
        <v>4</v>
      </c>
      <c r="L42" s="244">
        <f t="shared" si="1"/>
        <v>2.75</v>
      </c>
      <c r="M42" s="215"/>
    </row>
    <row r="43" spans="2:13" x14ac:dyDescent="0.2">
      <c r="B43" s="280" t="s">
        <v>51</v>
      </c>
      <c r="C43" s="96" t="s">
        <v>314</v>
      </c>
      <c r="D43" s="75" t="s">
        <v>236</v>
      </c>
      <c r="E43" s="77" t="s">
        <v>29</v>
      </c>
      <c r="F43" s="100" t="s">
        <v>319</v>
      </c>
      <c r="G43" s="265" t="s">
        <v>345</v>
      </c>
      <c r="H43" s="100">
        <v>2</v>
      </c>
      <c r="I43" s="100">
        <v>1</v>
      </c>
      <c r="J43" s="100">
        <v>3</v>
      </c>
      <c r="K43" s="100">
        <v>2</v>
      </c>
      <c r="L43" s="244">
        <f t="shared" si="1"/>
        <v>2</v>
      </c>
      <c r="M43" s="209"/>
    </row>
    <row r="44" spans="2:13" x14ac:dyDescent="0.2">
      <c r="B44" s="229" t="s">
        <v>53</v>
      </c>
      <c r="C44" s="229"/>
      <c r="D44" s="235"/>
      <c r="E44" s="230"/>
      <c r="F44" s="230"/>
      <c r="G44" s="230"/>
      <c r="H44" s="230"/>
      <c r="I44" s="230"/>
      <c r="J44" s="230"/>
      <c r="K44" s="230"/>
      <c r="L44" s="247"/>
      <c r="M44" s="230"/>
    </row>
    <row r="45" spans="2:13" s="2" customFormat="1" x14ac:dyDescent="0.2">
      <c r="B45" s="464" t="s">
        <v>54</v>
      </c>
      <c r="C45" s="96" t="s">
        <v>314</v>
      </c>
      <c r="D45" s="75" t="s">
        <v>208</v>
      </c>
      <c r="E45" s="77" t="s">
        <v>197</v>
      </c>
      <c r="F45" s="100" t="s">
        <v>319</v>
      </c>
      <c r="G45" s="265" t="s">
        <v>346</v>
      </c>
      <c r="H45" s="100">
        <v>2</v>
      </c>
      <c r="I45" s="100">
        <v>1</v>
      </c>
      <c r="J45" s="77">
        <v>4</v>
      </c>
      <c r="K45" s="77">
        <v>4</v>
      </c>
      <c r="L45" s="244">
        <f t="shared" si="1"/>
        <v>2.75</v>
      </c>
      <c r="M45" s="215"/>
    </row>
    <row r="46" spans="2:13" s="2" customFormat="1" x14ac:dyDescent="0.2">
      <c r="B46" s="464"/>
      <c r="C46" s="96" t="s">
        <v>314</v>
      </c>
      <c r="D46" s="75" t="s">
        <v>209</v>
      </c>
      <c r="E46" s="77" t="s">
        <v>197</v>
      </c>
      <c r="F46" s="100" t="s">
        <v>319</v>
      </c>
      <c r="G46" s="265" t="s">
        <v>347</v>
      </c>
      <c r="H46" s="100">
        <v>2</v>
      </c>
      <c r="I46" s="100">
        <v>1</v>
      </c>
      <c r="J46" s="77">
        <v>4</v>
      </c>
      <c r="K46" s="77">
        <v>4</v>
      </c>
      <c r="L46" s="244">
        <f t="shared" si="1"/>
        <v>2.75</v>
      </c>
      <c r="M46" s="215"/>
    </row>
    <row r="47" spans="2:13" s="2" customFormat="1" x14ac:dyDescent="0.2">
      <c r="B47" s="464"/>
      <c r="C47" s="96" t="s">
        <v>314</v>
      </c>
      <c r="D47" s="75" t="s">
        <v>229</v>
      </c>
      <c r="E47" s="77" t="s">
        <v>29</v>
      </c>
      <c r="F47" s="100" t="s">
        <v>319</v>
      </c>
      <c r="G47" s="265" t="s">
        <v>348</v>
      </c>
      <c r="H47" s="100">
        <v>2</v>
      </c>
      <c r="I47" s="100">
        <v>1</v>
      </c>
      <c r="J47" s="77">
        <v>3</v>
      </c>
      <c r="K47" s="77">
        <v>2</v>
      </c>
      <c r="L47" s="244">
        <f t="shared" si="1"/>
        <v>2</v>
      </c>
      <c r="M47" s="215"/>
    </row>
    <row r="48" spans="2:13" s="2" customFormat="1" x14ac:dyDescent="0.2">
      <c r="B48" s="464"/>
      <c r="C48" s="96" t="s">
        <v>314</v>
      </c>
      <c r="D48" s="75" t="s">
        <v>208</v>
      </c>
      <c r="E48" s="77" t="s">
        <v>197</v>
      </c>
      <c r="F48" s="100" t="s">
        <v>319</v>
      </c>
      <c r="G48" s="265" t="s">
        <v>346</v>
      </c>
      <c r="H48" s="100">
        <v>2</v>
      </c>
      <c r="I48" s="100">
        <v>1</v>
      </c>
      <c r="J48" s="77">
        <v>4</v>
      </c>
      <c r="K48" s="77">
        <v>4</v>
      </c>
      <c r="L48" s="244">
        <f t="shared" si="1"/>
        <v>2.75</v>
      </c>
      <c r="M48" s="215"/>
    </row>
    <row r="49" spans="2:13" s="2" customFormat="1" x14ac:dyDescent="0.2">
      <c r="B49" s="280" t="s">
        <v>59</v>
      </c>
      <c r="C49" s="96" t="s">
        <v>314</v>
      </c>
      <c r="D49" s="75" t="s">
        <v>213</v>
      </c>
      <c r="E49" s="77" t="s">
        <v>29</v>
      </c>
      <c r="F49" s="100" t="s">
        <v>319</v>
      </c>
      <c r="G49" s="265" t="s">
        <v>349</v>
      </c>
      <c r="H49" s="100">
        <v>2</v>
      </c>
      <c r="I49" s="100">
        <v>1</v>
      </c>
      <c r="J49" s="77">
        <v>3</v>
      </c>
      <c r="K49" s="77">
        <v>2</v>
      </c>
      <c r="L49" s="244">
        <f t="shared" si="1"/>
        <v>2</v>
      </c>
      <c r="M49" s="215"/>
    </row>
    <row r="50" spans="2:13" s="2" customFormat="1" x14ac:dyDescent="0.2">
      <c r="B50" s="280" t="s">
        <v>60</v>
      </c>
      <c r="C50" s="96" t="s">
        <v>314</v>
      </c>
      <c r="D50" s="75" t="s">
        <v>228</v>
      </c>
      <c r="E50" s="77" t="s">
        <v>29</v>
      </c>
      <c r="F50" s="100" t="s">
        <v>319</v>
      </c>
      <c r="G50" s="265" t="s">
        <v>350</v>
      </c>
      <c r="H50" s="100">
        <v>2</v>
      </c>
      <c r="I50" s="100">
        <v>1</v>
      </c>
      <c r="J50" s="77">
        <v>3</v>
      </c>
      <c r="K50" s="77">
        <v>2</v>
      </c>
      <c r="L50" s="244">
        <f t="shared" si="1"/>
        <v>2</v>
      </c>
      <c r="M50" s="215"/>
    </row>
    <row r="51" spans="2:13" s="2" customFormat="1" x14ac:dyDescent="0.2">
      <c r="B51" s="280" t="s">
        <v>62</v>
      </c>
      <c r="C51" s="96" t="s">
        <v>314</v>
      </c>
      <c r="D51" s="75" t="s">
        <v>230</v>
      </c>
      <c r="E51" s="77" t="s">
        <v>197</v>
      </c>
      <c r="F51" s="100" t="s">
        <v>319</v>
      </c>
      <c r="G51" s="265" t="s">
        <v>341</v>
      </c>
      <c r="H51" s="100">
        <v>2</v>
      </c>
      <c r="I51" s="100">
        <v>1</v>
      </c>
      <c r="J51" s="77">
        <v>4</v>
      </c>
      <c r="K51" s="77">
        <v>4</v>
      </c>
      <c r="L51" s="244">
        <f t="shared" si="1"/>
        <v>2.75</v>
      </c>
      <c r="M51" s="215"/>
    </row>
    <row r="52" spans="2:13" s="2" customFormat="1" x14ac:dyDescent="0.2">
      <c r="B52" s="280" t="s">
        <v>64</v>
      </c>
      <c r="C52" s="96" t="s">
        <v>314</v>
      </c>
      <c r="D52" s="75" t="s">
        <v>235</v>
      </c>
      <c r="E52" s="77" t="s">
        <v>197</v>
      </c>
      <c r="F52" s="100" t="s">
        <v>319</v>
      </c>
      <c r="G52" s="264" t="s">
        <v>326</v>
      </c>
      <c r="H52" s="100">
        <v>2</v>
      </c>
      <c r="I52" s="100">
        <v>1</v>
      </c>
      <c r="J52" s="77">
        <v>4</v>
      </c>
      <c r="K52" s="77">
        <v>4</v>
      </c>
      <c r="L52" s="244">
        <f t="shared" si="1"/>
        <v>2.75</v>
      </c>
      <c r="M52" s="215"/>
    </row>
    <row r="53" spans="2:13" s="2" customFormat="1" ht="13.7" customHeight="1" x14ac:dyDescent="0.2">
      <c r="B53" s="279" t="s">
        <v>66</v>
      </c>
      <c r="C53" s="96" t="s">
        <v>314</v>
      </c>
      <c r="D53" s="192" t="s">
        <v>213</v>
      </c>
      <c r="E53" s="193" t="s">
        <v>29</v>
      </c>
      <c r="F53" s="100" t="s">
        <v>319</v>
      </c>
      <c r="G53" s="265" t="s">
        <v>349</v>
      </c>
      <c r="H53" s="100">
        <v>2</v>
      </c>
      <c r="I53" s="100">
        <v>1</v>
      </c>
      <c r="J53" s="77">
        <v>3</v>
      </c>
      <c r="K53" s="77">
        <v>2</v>
      </c>
      <c r="L53" s="244">
        <f t="shared" si="1"/>
        <v>2</v>
      </c>
      <c r="M53" s="215"/>
    </row>
    <row r="54" spans="2:13" x14ac:dyDescent="0.2">
      <c r="B54" s="229" t="s">
        <v>69</v>
      </c>
      <c r="C54" s="229"/>
      <c r="D54" s="235"/>
      <c r="E54" s="230"/>
      <c r="F54" s="230"/>
      <c r="G54" s="230"/>
      <c r="H54" s="230"/>
      <c r="I54" s="230"/>
      <c r="J54" s="230"/>
      <c r="K54" s="230"/>
      <c r="L54" s="247"/>
      <c r="M54" s="230"/>
    </row>
    <row r="55" spans="2:13" s="2" customFormat="1" x14ac:dyDescent="0.2">
      <c r="B55" s="280" t="s">
        <v>70</v>
      </c>
      <c r="C55" s="96" t="s">
        <v>314</v>
      </c>
      <c r="D55" s="75" t="s">
        <v>221</v>
      </c>
      <c r="E55" s="77" t="s">
        <v>192</v>
      </c>
      <c r="F55" s="100" t="s">
        <v>319</v>
      </c>
      <c r="G55" s="265" t="s">
        <v>351</v>
      </c>
      <c r="H55" s="100">
        <v>2</v>
      </c>
      <c r="I55" s="100">
        <v>1</v>
      </c>
      <c r="J55" s="77">
        <v>4</v>
      </c>
      <c r="K55" s="77">
        <v>4</v>
      </c>
      <c r="L55" s="244">
        <f t="shared" si="1"/>
        <v>2.75</v>
      </c>
      <c r="M55" s="215"/>
    </row>
    <row r="56" spans="2:13" s="2" customFormat="1" ht="13.7" customHeight="1" x14ac:dyDescent="0.2">
      <c r="B56" s="280" t="s">
        <v>72</v>
      </c>
      <c r="C56" s="96" t="s">
        <v>314</v>
      </c>
      <c r="D56" s="75" t="s">
        <v>224</v>
      </c>
      <c r="E56" s="77" t="s">
        <v>192</v>
      </c>
      <c r="F56" s="100" t="s">
        <v>319</v>
      </c>
      <c r="G56" s="215" t="s">
        <v>352</v>
      </c>
      <c r="H56" s="100">
        <v>2</v>
      </c>
      <c r="I56" s="100">
        <v>1</v>
      </c>
      <c r="J56" s="77">
        <v>4</v>
      </c>
      <c r="K56" s="77">
        <v>4</v>
      </c>
      <c r="L56" s="244">
        <f t="shared" si="1"/>
        <v>2.75</v>
      </c>
      <c r="M56" s="215"/>
    </row>
    <row r="57" spans="2:13" s="2" customFormat="1" x14ac:dyDescent="0.2">
      <c r="B57" s="280" t="s">
        <v>74</v>
      </c>
      <c r="C57" s="96" t="s">
        <v>314</v>
      </c>
      <c r="D57" s="75" t="s">
        <v>225</v>
      </c>
      <c r="E57" s="77" t="s">
        <v>192</v>
      </c>
      <c r="F57" s="100" t="s">
        <v>319</v>
      </c>
      <c r="G57" s="215" t="s">
        <v>353</v>
      </c>
      <c r="H57" s="100">
        <v>2</v>
      </c>
      <c r="I57" s="100">
        <v>1</v>
      </c>
      <c r="J57" s="77">
        <v>4</v>
      </c>
      <c r="K57" s="77">
        <v>4</v>
      </c>
      <c r="L57" s="244">
        <f t="shared" si="1"/>
        <v>2.75</v>
      </c>
      <c r="M57" s="215"/>
    </row>
    <row r="58" spans="2:13" s="2" customFormat="1" x14ac:dyDescent="0.2">
      <c r="B58" s="280" t="s">
        <v>76</v>
      </c>
      <c r="C58" s="96" t="s">
        <v>314</v>
      </c>
      <c r="D58" s="75" t="s">
        <v>223</v>
      </c>
      <c r="E58" s="77" t="s">
        <v>192</v>
      </c>
      <c r="F58" s="100" t="s">
        <v>319</v>
      </c>
      <c r="G58" s="215" t="s">
        <v>354</v>
      </c>
      <c r="H58" s="100">
        <v>2</v>
      </c>
      <c r="I58" s="100">
        <v>1</v>
      </c>
      <c r="J58" s="77">
        <v>4</v>
      </c>
      <c r="K58" s="77">
        <v>4</v>
      </c>
      <c r="L58" s="244">
        <f t="shared" si="1"/>
        <v>2.75</v>
      </c>
      <c r="M58" s="215"/>
    </row>
    <row r="59" spans="2:13" x14ac:dyDescent="0.2">
      <c r="B59" s="221" t="s">
        <v>78</v>
      </c>
      <c r="C59" s="221"/>
      <c r="D59" s="258"/>
      <c r="E59" s="231"/>
      <c r="F59" s="231"/>
      <c r="G59" s="231"/>
      <c r="H59" s="231"/>
      <c r="I59" s="231"/>
      <c r="J59" s="231"/>
      <c r="K59" s="231"/>
      <c r="L59" s="249"/>
      <c r="M59" s="231"/>
    </row>
    <row r="60" spans="2:13" x14ac:dyDescent="0.2">
      <c r="B60" s="229" t="s">
        <v>79</v>
      </c>
      <c r="C60" s="229"/>
      <c r="D60" s="235"/>
      <c r="E60" s="230"/>
      <c r="F60" s="230"/>
      <c r="G60" s="230"/>
      <c r="H60" s="230"/>
      <c r="I60" s="230"/>
      <c r="J60" s="230"/>
      <c r="K60" s="230"/>
      <c r="L60" s="247"/>
      <c r="M60" s="230"/>
    </row>
    <row r="61" spans="2:13" x14ac:dyDescent="0.2">
      <c r="B61" s="429" t="s">
        <v>80</v>
      </c>
      <c r="C61" s="96" t="s">
        <v>314</v>
      </c>
      <c r="D61" s="75" t="s">
        <v>337</v>
      </c>
      <c r="E61" s="77" t="s">
        <v>192</v>
      </c>
      <c r="F61" s="100" t="s">
        <v>319</v>
      </c>
      <c r="G61" s="209" t="s">
        <v>338</v>
      </c>
      <c r="H61" s="100">
        <v>2</v>
      </c>
      <c r="I61" s="100">
        <v>1</v>
      </c>
      <c r="J61" s="100">
        <v>4</v>
      </c>
      <c r="K61" s="100">
        <v>4</v>
      </c>
      <c r="L61" s="244">
        <f t="shared" ref="L61:L74" si="2">AVERAGE(H61:K61)</f>
        <v>2.75</v>
      </c>
      <c r="M61" s="209"/>
    </row>
    <row r="62" spans="2:13" x14ac:dyDescent="0.2">
      <c r="B62" s="429"/>
      <c r="C62" s="96" t="s">
        <v>314</v>
      </c>
      <c r="D62" s="75" t="s">
        <v>217</v>
      </c>
      <c r="E62" s="77" t="s">
        <v>29</v>
      </c>
      <c r="F62" s="100" t="s">
        <v>319</v>
      </c>
      <c r="G62" s="265" t="s">
        <v>333</v>
      </c>
      <c r="H62" s="100">
        <v>2</v>
      </c>
      <c r="I62" s="100">
        <v>1</v>
      </c>
      <c r="J62" s="100">
        <v>3</v>
      </c>
      <c r="K62" s="100">
        <v>2</v>
      </c>
      <c r="L62" s="244">
        <f t="shared" si="2"/>
        <v>2</v>
      </c>
      <c r="M62" s="209"/>
    </row>
    <row r="63" spans="2:13" x14ac:dyDescent="0.2">
      <c r="B63" s="464" t="s">
        <v>82</v>
      </c>
      <c r="C63" s="96" t="s">
        <v>314</v>
      </c>
      <c r="D63" s="210" t="s">
        <v>195</v>
      </c>
      <c r="E63" s="77" t="s">
        <v>192</v>
      </c>
      <c r="F63" s="100" t="s">
        <v>319</v>
      </c>
      <c r="G63" s="209" t="s">
        <v>355</v>
      </c>
      <c r="H63" s="100">
        <v>2</v>
      </c>
      <c r="I63" s="100">
        <v>1</v>
      </c>
      <c r="J63" s="100">
        <v>4</v>
      </c>
      <c r="K63" s="100">
        <v>4</v>
      </c>
      <c r="L63" s="244">
        <f t="shared" si="2"/>
        <v>2.75</v>
      </c>
      <c r="M63" s="209"/>
    </row>
    <row r="64" spans="2:13" x14ac:dyDescent="0.2">
      <c r="B64" s="464"/>
      <c r="C64" s="96" t="s">
        <v>314</v>
      </c>
      <c r="D64" s="210" t="s">
        <v>194</v>
      </c>
      <c r="E64" s="77" t="s">
        <v>192</v>
      </c>
      <c r="F64" s="100" t="s">
        <v>319</v>
      </c>
      <c r="G64" s="209" t="s">
        <v>371</v>
      </c>
      <c r="H64" s="100">
        <v>2</v>
      </c>
      <c r="I64" s="100">
        <v>1</v>
      </c>
      <c r="J64" s="100">
        <v>4</v>
      </c>
      <c r="K64" s="100">
        <v>4</v>
      </c>
      <c r="L64" s="244">
        <f t="shared" si="2"/>
        <v>2.75</v>
      </c>
      <c r="M64" s="209"/>
    </row>
    <row r="65" spans="2:13" x14ac:dyDescent="0.2">
      <c r="B65" s="280" t="s">
        <v>88</v>
      </c>
      <c r="C65" s="96" t="s">
        <v>314</v>
      </c>
      <c r="D65" s="75" t="s">
        <v>225</v>
      </c>
      <c r="E65" s="77" t="s">
        <v>192</v>
      </c>
      <c r="F65" s="100" t="s">
        <v>319</v>
      </c>
      <c r="G65" s="215" t="s">
        <v>353</v>
      </c>
      <c r="H65" s="100">
        <v>2</v>
      </c>
      <c r="I65" s="100">
        <v>1</v>
      </c>
      <c r="J65" s="100">
        <v>4</v>
      </c>
      <c r="K65" s="100">
        <v>4</v>
      </c>
      <c r="L65" s="244">
        <f t="shared" si="2"/>
        <v>2.75</v>
      </c>
      <c r="M65" s="209"/>
    </row>
    <row r="66" spans="2:13" x14ac:dyDescent="0.2">
      <c r="B66" s="280" t="s">
        <v>31</v>
      </c>
      <c r="C66" s="96" t="s">
        <v>314</v>
      </c>
      <c r="D66" s="210" t="s">
        <v>31</v>
      </c>
      <c r="E66" s="77" t="s">
        <v>192</v>
      </c>
      <c r="F66" s="100" t="s">
        <v>319</v>
      </c>
      <c r="G66" s="209" t="s">
        <v>328</v>
      </c>
      <c r="H66" s="100">
        <v>2</v>
      </c>
      <c r="I66" s="100">
        <v>1</v>
      </c>
      <c r="J66" s="100">
        <v>4</v>
      </c>
      <c r="K66" s="100">
        <v>4</v>
      </c>
      <c r="L66" s="244">
        <f t="shared" si="2"/>
        <v>2.75</v>
      </c>
      <c r="M66" s="209"/>
    </row>
    <row r="67" spans="2:13" x14ac:dyDescent="0.2">
      <c r="B67" s="280" t="s">
        <v>89</v>
      </c>
      <c r="C67" s="96" t="s">
        <v>314</v>
      </c>
      <c r="D67" s="75" t="s">
        <v>337</v>
      </c>
      <c r="E67" s="77" t="s">
        <v>192</v>
      </c>
      <c r="F67" s="100" t="s">
        <v>319</v>
      </c>
      <c r="G67" s="209" t="s">
        <v>338</v>
      </c>
      <c r="H67" s="100">
        <v>2</v>
      </c>
      <c r="I67" s="100">
        <v>1</v>
      </c>
      <c r="J67" s="100">
        <v>4</v>
      </c>
      <c r="K67" s="100">
        <v>4</v>
      </c>
      <c r="L67" s="244">
        <f t="shared" si="2"/>
        <v>2.75</v>
      </c>
      <c r="M67" s="209"/>
    </row>
    <row r="68" spans="2:13" x14ac:dyDescent="0.2">
      <c r="B68" s="465" t="s">
        <v>90</v>
      </c>
      <c r="C68" s="96" t="s">
        <v>314</v>
      </c>
      <c r="D68" s="75" t="s">
        <v>479</v>
      </c>
      <c r="E68" s="77" t="s">
        <v>29</v>
      </c>
      <c r="F68" s="100" t="s">
        <v>319</v>
      </c>
      <c r="G68" s="209" t="s">
        <v>480</v>
      </c>
      <c r="H68" s="100">
        <v>2</v>
      </c>
      <c r="I68" s="100">
        <v>1</v>
      </c>
      <c r="J68" s="100">
        <v>4</v>
      </c>
      <c r="K68" s="100">
        <v>4</v>
      </c>
      <c r="L68" s="244">
        <f t="shared" si="2"/>
        <v>2.75</v>
      </c>
      <c r="M68" s="209"/>
    </row>
    <row r="69" spans="2:13" ht="25.5" x14ac:dyDescent="0.2">
      <c r="B69" s="466"/>
      <c r="C69" s="96" t="s">
        <v>314</v>
      </c>
      <c r="D69" s="75" t="s">
        <v>481</v>
      </c>
      <c r="E69" s="77" t="s">
        <v>192</v>
      </c>
      <c r="F69" s="100" t="s">
        <v>319</v>
      </c>
      <c r="G69" s="209" t="s">
        <v>482</v>
      </c>
      <c r="H69" s="100">
        <v>2</v>
      </c>
      <c r="I69" s="100">
        <v>1</v>
      </c>
      <c r="J69" s="100">
        <v>4</v>
      </c>
      <c r="K69" s="100">
        <v>4</v>
      </c>
      <c r="L69" s="244">
        <f t="shared" ref="L69" si="3">AVERAGE(H69:K69)</f>
        <v>2.75</v>
      </c>
      <c r="M69" s="209"/>
    </row>
    <row r="70" spans="2:13" x14ac:dyDescent="0.2">
      <c r="B70" s="229" t="s">
        <v>92</v>
      </c>
      <c r="C70" s="229"/>
      <c r="D70" s="235"/>
      <c r="E70" s="230"/>
      <c r="F70" s="230"/>
      <c r="G70" s="230"/>
      <c r="H70" s="230"/>
      <c r="I70" s="230"/>
      <c r="J70" s="230"/>
      <c r="K70" s="230"/>
      <c r="L70" s="247"/>
      <c r="M70" s="230"/>
    </row>
    <row r="71" spans="2:13" ht="31.35" customHeight="1" x14ac:dyDescent="0.2">
      <c r="B71" s="280" t="s">
        <v>84</v>
      </c>
      <c r="C71" s="96" t="s">
        <v>314</v>
      </c>
      <c r="D71" s="75" t="s">
        <v>222</v>
      </c>
      <c r="E71" s="96" t="s">
        <v>357</v>
      </c>
      <c r="F71" s="100" t="s">
        <v>319</v>
      </c>
      <c r="G71" s="209" t="s">
        <v>356</v>
      </c>
      <c r="H71" s="100">
        <v>2</v>
      </c>
      <c r="I71" s="100">
        <v>1</v>
      </c>
      <c r="J71" s="100">
        <v>3</v>
      </c>
      <c r="K71" s="100">
        <v>3</v>
      </c>
      <c r="L71" s="244">
        <f t="shared" si="2"/>
        <v>2.25</v>
      </c>
      <c r="M71" s="209"/>
    </row>
    <row r="72" spans="2:13" x14ac:dyDescent="0.2">
      <c r="B72" s="280" t="s">
        <v>86</v>
      </c>
      <c r="C72" s="96" t="s">
        <v>314</v>
      </c>
      <c r="D72" s="75" t="s">
        <v>223</v>
      </c>
      <c r="E72" s="77" t="s">
        <v>192</v>
      </c>
      <c r="F72" s="100" t="s">
        <v>319</v>
      </c>
      <c r="G72" s="215" t="s">
        <v>354</v>
      </c>
      <c r="H72" s="100">
        <v>2</v>
      </c>
      <c r="I72" s="100">
        <v>1</v>
      </c>
      <c r="J72" s="100">
        <v>2</v>
      </c>
      <c r="K72" s="100">
        <v>2</v>
      </c>
      <c r="L72" s="244">
        <f t="shared" si="2"/>
        <v>1.75</v>
      </c>
      <c r="M72" s="209"/>
    </row>
    <row r="73" spans="2:13" x14ac:dyDescent="0.2">
      <c r="B73" s="280" t="s">
        <v>88</v>
      </c>
      <c r="C73" s="96" t="s">
        <v>314</v>
      </c>
      <c r="D73" s="75" t="s">
        <v>225</v>
      </c>
      <c r="E73" s="77" t="s">
        <v>192</v>
      </c>
      <c r="F73" s="100" t="s">
        <v>319</v>
      </c>
      <c r="G73" s="215" t="s">
        <v>353</v>
      </c>
      <c r="H73" s="100">
        <v>2</v>
      </c>
      <c r="I73" s="100">
        <v>1</v>
      </c>
      <c r="J73" s="100">
        <v>2</v>
      </c>
      <c r="K73" s="100">
        <v>2</v>
      </c>
      <c r="L73" s="244">
        <f t="shared" si="2"/>
        <v>1.75</v>
      </c>
      <c r="M73" s="209"/>
    </row>
    <row r="74" spans="2:13" x14ac:dyDescent="0.2">
      <c r="B74" s="280" t="s">
        <v>89</v>
      </c>
      <c r="C74" s="96" t="s">
        <v>314</v>
      </c>
      <c r="D74" s="75" t="s">
        <v>337</v>
      </c>
      <c r="E74" s="77" t="s">
        <v>192</v>
      </c>
      <c r="F74" s="100" t="s">
        <v>319</v>
      </c>
      <c r="G74" s="209" t="s">
        <v>338</v>
      </c>
      <c r="H74" s="100">
        <v>2</v>
      </c>
      <c r="I74" s="100">
        <v>1</v>
      </c>
      <c r="J74" s="100">
        <v>2</v>
      </c>
      <c r="K74" s="100">
        <v>2</v>
      </c>
      <c r="L74" s="244">
        <f t="shared" si="2"/>
        <v>1.75</v>
      </c>
      <c r="M74" s="209"/>
    </row>
    <row r="75" spans="2:13" x14ac:dyDescent="0.2">
      <c r="B75" s="221" t="s">
        <v>93</v>
      </c>
      <c r="C75" s="221"/>
      <c r="D75" s="258"/>
      <c r="E75" s="231"/>
      <c r="F75" s="231"/>
      <c r="G75" s="231"/>
      <c r="H75" s="231"/>
      <c r="I75" s="231"/>
      <c r="J75" s="231"/>
      <c r="K75" s="231"/>
      <c r="L75" s="249"/>
      <c r="M75" s="231"/>
    </row>
    <row r="76" spans="2:13" x14ac:dyDescent="0.2">
      <c r="B76" s="229" t="s">
        <v>94</v>
      </c>
      <c r="C76" s="229"/>
      <c r="D76" s="235"/>
      <c r="E76" s="230"/>
      <c r="F76" s="230"/>
      <c r="G76" s="230"/>
      <c r="H76" s="230"/>
      <c r="I76" s="230"/>
      <c r="J76" s="230"/>
      <c r="K76" s="230"/>
      <c r="L76" s="247"/>
      <c r="M76" s="230"/>
    </row>
    <row r="77" spans="2:13" s="2" customFormat="1" x14ac:dyDescent="0.2">
      <c r="B77" s="280" t="s">
        <v>95</v>
      </c>
      <c r="C77" s="96" t="s">
        <v>301</v>
      </c>
      <c r="D77" s="75" t="s">
        <v>234</v>
      </c>
      <c r="E77" s="77" t="s">
        <v>359</v>
      </c>
      <c r="F77" s="100" t="s">
        <v>319</v>
      </c>
      <c r="G77" s="215" t="s">
        <v>358</v>
      </c>
      <c r="H77" s="100">
        <v>2</v>
      </c>
      <c r="I77" s="100">
        <v>1</v>
      </c>
      <c r="J77" s="77">
        <v>2</v>
      </c>
      <c r="K77" s="77">
        <v>2</v>
      </c>
      <c r="L77" s="244">
        <f t="shared" ref="L77:L79" si="4">AVERAGE(H77:K77)</f>
        <v>1.75</v>
      </c>
      <c r="M77" s="215"/>
    </row>
    <row r="78" spans="2:13" s="2" customFormat="1" x14ac:dyDescent="0.2">
      <c r="B78" s="280" t="s">
        <v>86</v>
      </c>
      <c r="C78" s="96" t="s">
        <v>314</v>
      </c>
      <c r="D78" s="75" t="s">
        <v>223</v>
      </c>
      <c r="E78" s="77" t="s">
        <v>192</v>
      </c>
      <c r="F78" s="100" t="s">
        <v>319</v>
      </c>
      <c r="G78" s="215" t="s">
        <v>354</v>
      </c>
      <c r="H78" s="100">
        <v>2</v>
      </c>
      <c r="I78" s="100">
        <v>1</v>
      </c>
      <c r="J78" s="77">
        <v>2</v>
      </c>
      <c r="K78" s="77">
        <v>2</v>
      </c>
      <c r="L78" s="244">
        <f t="shared" si="4"/>
        <v>1.75</v>
      </c>
      <c r="M78" s="215"/>
    </row>
    <row r="79" spans="2:13" x14ac:dyDescent="0.2">
      <c r="B79" s="280" t="s">
        <v>88</v>
      </c>
      <c r="C79" s="96" t="s">
        <v>314</v>
      </c>
      <c r="D79" s="75" t="s">
        <v>226</v>
      </c>
      <c r="E79" s="77" t="s">
        <v>192</v>
      </c>
      <c r="F79" s="100" t="s">
        <v>319</v>
      </c>
      <c r="G79" s="209" t="s">
        <v>360</v>
      </c>
      <c r="H79" s="100">
        <v>2</v>
      </c>
      <c r="I79" s="100">
        <v>1</v>
      </c>
      <c r="J79" s="100">
        <v>2</v>
      </c>
      <c r="K79" s="100">
        <v>2</v>
      </c>
      <c r="L79" s="244">
        <f t="shared" si="4"/>
        <v>1.75</v>
      </c>
      <c r="M79" s="209"/>
    </row>
    <row r="80" spans="2:13" x14ac:dyDescent="0.2">
      <c r="B80" s="229" t="s">
        <v>99</v>
      </c>
      <c r="C80" s="229"/>
      <c r="D80" s="235"/>
      <c r="E80" s="230"/>
      <c r="F80" s="230"/>
      <c r="G80" s="230"/>
      <c r="H80" s="230"/>
      <c r="I80" s="230"/>
      <c r="J80" s="230"/>
      <c r="K80" s="230"/>
      <c r="L80" s="247"/>
      <c r="M80" s="230"/>
    </row>
    <row r="81" spans="2:13" s="2" customFormat="1" x14ac:dyDescent="0.2">
      <c r="B81" s="280" t="s">
        <v>95</v>
      </c>
      <c r="C81" s="96" t="s">
        <v>301</v>
      </c>
      <c r="D81" s="75" t="s">
        <v>234</v>
      </c>
      <c r="E81" s="77" t="s">
        <v>359</v>
      </c>
      <c r="F81" s="100" t="s">
        <v>319</v>
      </c>
      <c r="G81" s="215" t="s">
        <v>358</v>
      </c>
      <c r="H81" s="100">
        <v>2</v>
      </c>
      <c r="I81" s="100">
        <v>1</v>
      </c>
      <c r="J81" s="77">
        <v>2</v>
      </c>
      <c r="K81" s="77">
        <v>2</v>
      </c>
      <c r="L81" s="244">
        <f t="shared" ref="L81:L84" si="5">AVERAGE(H81:K81)</f>
        <v>1.75</v>
      </c>
      <c r="M81" s="215"/>
    </row>
    <row r="82" spans="2:13" s="2" customFormat="1" x14ac:dyDescent="0.2">
      <c r="B82" s="280" t="s">
        <v>86</v>
      </c>
      <c r="C82" s="96" t="s">
        <v>314</v>
      </c>
      <c r="D82" s="75" t="s">
        <v>223</v>
      </c>
      <c r="E82" s="77" t="s">
        <v>192</v>
      </c>
      <c r="F82" s="100" t="s">
        <v>319</v>
      </c>
      <c r="G82" s="215" t="s">
        <v>354</v>
      </c>
      <c r="H82" s="100">
        <v>2</v>
      </c>
      <c r="I82" s="100">
        <v>1</v>
      </c>
      <c r="J82" s="77">
        <v>2</v>
      </c>
      <c r="K82" s="77">
        <v>2</v>
      </c>
      <c r="L82" s="248">
        <f t="shared" si="5"/>
        <v>1.75</v>
      </c>
      <c r="M82" s="215"/>
    </row>
    <row r="83" spans="2:13" x14ac:dyDescent="0.2">
      <c r="B83" s="280" t="s">
        <v>88</v>
      </c>
      <c r="C83" s="96" t="s">
        <v>314</v>
      </c>
      <c r="D83" s="75" t="s">
        <v>226</v>
      </c>
      <c r="E83" s="77" t="s">
        <v>192</v>
      </c>
      <c r="F83" s="100" t="s">
        <v>319</v>
      </c>
      <c r="G83" s="209" t="s">
        <v>360</v>
      </c>
      <c r="H83" s="100">
        <v>2</v>
      </c>
      <c r="I83" s="100">
        <v>1</v>
      </c>
      <c r="J83" s="100">
        <v>2</v>
      </c>
      <c r="K83" s="100">
        <v>2</v>
      </c>
      <c r="L83" s="244">
        <f t="shared" si="5"/>
        <v>1.75</v>
      </c>
      <c r="M83" s="209"/>
    </row>
    <row r="84" spans="2:13" s="2" customFormat="1" x14ac:dyDescent="0.2">
      <c r="B84" s="278" t="s">
        <v>100</v>
      </c>
      <c r="C84" s="96" t="s">
        <v>314</v>
      </c>
      <c r="D84" s="75" t="s">
        <v>203</v>
      </c>
      <c r="E84" s="77" t="s">
        <v>359</v>
      </c>
      <c r="F84" s="100" t="s">
        <v>319</v>
      </c>
      <c r="G84" s="215" t="s">
        <v>361</v>
      </c>
      <c r="H84" s="100">
        <v>2</v>
      </c>
      <c r="I84" s="100">
        <v>1</v>
      </c>
      <c r="J84" s="77">
        <v>2</v>
      </c>
      <c r="K84" s="77">
        <v>2</v>
      </c>
      <c r="L84" s="248">
        <f t="shared" si="5"/>
        <v>1.75</v>
      </c>
      <c r="M84" s="215"/>
    </row>
    <row r="85" spans="2:13" x14ac:dyDescent="0.2">
      <c r="B85" s="229" t="s">
        <v>102</v>
      </c>
      <c r="C85" s="229"/>
      <c r="D85" s="235"/>
      <c r="E85" s="230"/>
      <c r="F85" s="230"/>
      <c r="G85" s="230"/>
      <c r="H85" s="230"/>
      <c r="I85" s="230"/>
      <c r="J85" s="230"/>
      <c r="K85" s="230"/>
      <c r="L85" s="247"/>
      <c r="M85" s="230"/>
    </row>
    <row r="86" spans="2:13" ht="25.5" x14ac:dyDescent="0.2">
      <c r="B86" s="463" t="s">
        <v>104</v>
      </c>
      <c r="C86" s="232" t="s">
        <v>314</v>
      </c>
      <c r="D86" s="233" t="s">
        <v>365</v>
      </c>
      <c r="E86" s="234" t="s">
        <v>192</v>
      </c>
      <c r="F86" s="217" t="s">
        <v>367</v>
      </c>
      <c r="G86" s="209" t="s">
        <v>366</v>
      </c>
      <c r="H86" s="100">
        <v>2</v>
      </c>
      <c r="I86" s="100">
        <v>1</v>
      </c>
      <c r="J86" s="100">
        <v>2</v>
      </c>
      <c r="K86" s="100">
        <v>2</v>
      </c>
      <c r="L86" s="244">
        <f t="shared" ref="L86:L90" si="6">AVERAGE(H86:K86)</f>
        <v>1.75</v>
      </c>
      <c r="M86" s="209"/>
    </row>
    <row r="87" spans="2:13" x14ac:dyDescent="0.2">
      <c r="B87" s="463"/>
      <c r="C87" s="232" t="s">
        <v>314</v>
      </c>
      <c r="D87" s="233" t="s">
        <v>362</v>
      </c>
      <c r="E87" s="116" t="s">
        <v>192</v>
      </c>
      <c r="F87" s="100" t="s">
        <v>319</v>
      </c>
      <c r="G87" s="209" t="s">
        <v>368</v>
      </c>
      <c r="H87" s="100">
        <v>2</v>
      </c>
      <c r="I87" s="100">
        <v>1</v>
      </c>
      <c r="J87" s="100">
        <v>2</v>
      </c>
      <c r="K87" s="100">
        <v>2</v>
      </c>
      <c r="L87" s="244">
        <f t="shared" si="6"/>
        <v>1.75</v>
      </c>
      <c r="M87" s="209"/>
    </row>
    <row r="88" spans="2:13" x14ac:dyDescent="0.2">
      <c r="B88" s="463"/>
      <c r="C88" s="232" t="s">
        <v>314</v>
      </c>
      <c r="D88" s="233" t="s">
        <v>363</v>
      </c>
      <c r="E88" s="234" t="s">
        <v>359</v>
      </c>
      <c r="F88" s="100" t="s">
        <v>319</v>
      </c>
      <c r="G88" s="209" t="s">
        <v>369</v>
      </c>
      <c r="H88" s="100">
        <v>2</v>
      </c>
      <c r="I88" s="100">
        <v>1</v>
      </c>
      <c r="J88" s="100">
        <v>2</v>
      </c>
      <c r="K88" s="100">
        <v>2</v>
      </c>
      <c r="L88" s="244">
        <f t="shared" si="6"/>
        <v>1.75</v>
      </c>
      <c r="M88" s="209"/>
    </row>
    <row r="89" spans="2:13" x14ac:dyDescent="0.2">
      <c r="B89" s="463"/>
      <c r="C89" s="232" t="s">
        <v>301</v>
      </c>
      <c r="D89" s="233" t="s">
        <v>364</v>
      </c>
      <c r="E89" s="234" t="s">
        <v>359</v>
      </c>
      <c r="F89" s="100" t="s">
        <v>319</v>
      </c>
      <c r="G89" s="209" t="s">
        <v>370</v>
      </c>
      <c r="H89" s="100">
        <v>2</v>
      </c>
      <c r="I89" s="100">
        <v>1</v>
      </c>
      <c r="J89" s="100">
        <v>2</v>
      </c>
      <c r="K89" s="100">
        <v>2</v>
      </c>
      <c r="L89" s="244">
        <f t="shared" si="6"/>
        <v>1.75</v>
      </c>
      <c r="M89" s="209"/>
    </row>
    <row r="90" spans="2:13" x14ac:dyDescent="0.2">
      <c r="B90" s="463"/>
      <c r="C90" s="232" t="s">
        <v>314</v>
      </c>
      <c r="D90" s="233" t="s">
        <v>226</v>
      </c>
      <c r="E90" s="234" t="s">
        <v>192</v>
      </c>
      <c r="F90" s="100" t="s">
        <v>319</v>
      </c>
      <c r="G90" s="209" t="s">
        <v>360</v>
      </c>
      <c r="H90" s="100">
        <v>2</v>
      </c>
      <c r="I90" s="100">
        <v>1</v>
      </c>
      <c r="J90" s="100">
        <v>2</v>
      </c>
      <c r="K90" s="100">
        <v>2</v>
      </c>
      <c r="L90" s="244">
        <f t="shared" si="6"/>
        <v>1.75</v>
      </c>
      <c r="M90" s="209"/>
    </row>
    <row r="91" spans="2:13" x14ac:dyDescent="0.2">
      <c r="B91" s="229" t="s">
        <v>108</v>
      </c>
      <c r="C91" s="229"/>
      <c r="D91" s="235"/>
      <c r="E91" s="230"/>
      <c r="F91" s="230"/>
      <c r="G91" s="230"/>
      <c r="H91" s="230"/>
      <c r="I91" s="230"/>
      <c r="J91" s="230"/>
      <c r="K91" s="230"/>
      <c r="L91" s="247"/>
      <c r="M91" s="230"/>
    </row>
    <row r="92" spans="2:13" x14ac:dyDescent="0.2">
      <c r="B92" s="464" t="s">
        <v>82</v>
      </c>
      <c r="C92" s="96" t="s">
        <v>314</v>
      </c>
      <c r="D92" s="210" t="s">
        <v>195</v>
      </c>
      <c r="E92" s="77" t="s">
        <v>192</v>
      </c>
      <c r="F92" s="100" t="s">
        <v>319</v>
      </c>
      <c r="G92" s="209" t="s">
        <v>355</v>
      </c>
      <c r="H92" s="100">
        <v>2</v>
      </c>
      <c r="I92" s="100">
        <v>1</v>
      </c>
      <c r="J92" s="100">
        <v>2</v>
      </c>
      <c r="K92" s="100">
        <v>2</v>
      </c>
      <c r="L92" s="244">
        <f t="shared" ref="L92:L94" si="7">AVERAGE(H92:K92)</f>
        <v>1.75</v>
      </c>
      <c r="M92" s="209"/>
    </row>
    <row r="93" spans="2:13" x14ac:dyDescent="0.2">
      <c r="B93" s="464"/>
      <c r="C93" s="96" t="s">
        <v>314</v>
      </c>
      <c r="D93" s="210" t="s">
        <v>194</v>
      </c>
      <c r="E93" s="77" t="s">
        <v>192</v>
      </c>
      <c r="F93" s="100" t="s">
        <v>319</v>
      </c>
      <c r="G93" s="209" t="s">
        <v>371</v>
      </c>
      <c r="H93" s="100">
        <v>2</v>
      </c>
      <c r="I93" s="100">
        <v>1</v>
      </c>
      <c r="J93" s="100">
        <v>2</v>
      </c>
      <c r="K93" s="100">
        <v>2</v>
      </c>
      <c r="L93" s="244">
        <f t="shared" si="7"/>
        <v>1.75</v>
      </c>
      <c r="M93" s="209"/>
    </row>
    <row r="94" spans="2:13" x14ac:dyDescent="0.2">
      <c r="B94" s="280" t="s">
        <v>89</v>
      </c>
      <c r="C94" s="96" t="s">
        <v>314</v>
      </c>
      <c r="D94" s="75" t="s">
        <v>337</v>
      </c>
      <c r="E94" s="77" t="s">
        <v>192</v>
      </c>
      <c r="F94" s="100" t="s">
        <v>319</v>
      </c>
      <c r="G94" s="209" t="s">
        <v>338</v>
      </c>
      <c r="H94" s="100">
        <v>2</v>
      </c>
      <c r="I94" s="100">
        <v>1</v>
      </c>
      <c r="J94" s="100">
        <v>2</v>
      </c>
      <c r="K94" s="100">
        <v>2</v>
      </c>
      <c r="L94" s="244">
        <f t="shared" si="7"/>
        <v>1.75</v>
      </c>
      <c r="M94" s="209"/>
    </row>
    <row r="95" spans="2:13" x14ac:dyDescent="0.2">
      <c r="B95" s="229" t="s">
        <v>109</v>
      </c>
      <c r="C95" s="229"/>
      <c r="D95" s="235"/>
      <c r="E95" s="230"/>
      <c r="F95" s="230"/>
      <c r="G95" s="230"/>
      <c r="H95" s="230"/>
      <c r="I95" s="230"/>
      <c r="J95" s="230"/>
      <c r="K95" s="230"/>
      <c r="L95" s="247"/>
      <c r="M95" s="230"/>
    </row>
    <row r="96" spans="2:13" s="2" customFormat="1" x14ac:dyDescent="0.2">
      <c r="B96" s="280" t="s">
        <v>95</v>
      </c>
      <c r="C96" s="96" t="s">
        <v>301</v>
      </c>
      <c r="D96" s="75" t="s">
        <v>234</v>
      </c>
      <c r="E96" s="77" t="s">
        <v>359</v>
      </c>
      <c r="F96" s="100" t="s">
        <v>319</v>
      </c>
      <c r="G96" s="215" t="s">
        <v>358</v>
      </c>
      <c r="H96" s="100">
        <v>2</v>
      </c>
      <c r="I96" s="100">
        <v>1</v>
      </c>
      <c r="J96" s="77">
        <v>2</v>
      </c>
      <c r="K96" s="77">
        <v>2</v>
      </c>
      <c r="L96" s="244">
        <f t="shared" ref="L96" si="8">AVERAGE(H96:K96)</f>
        <v>1.75</v>
      </c>
      <c r="M96" s="215"/>
    </row>
    <row r="97" spans="2:13" x14ac:dyDescent="0.2">
      <c r="B97" s="229" t="s">
        <v>110</v>
      </c>
      <c r="C97" s="229"/>
      <c r="D97" s="235"/>
      <c r="E97" s="230"/>
      <c r="F97" s="230"/>
      <c r="G97" s="230"/>
      <c r="H97" s="230"/>
      <c r="I97" s="230"/>
      <c r="J97" s="230"/>
      <c r="K97" s="230"/>
      <c r="L97" s="247"/>
      <c r="M97" s="230"/>
    </row>
    <row r="98" spans="2:13" ht="13.7" customHeight="1" x14ac:dyDescent="0.2">
      <c r="B98" s="280" t="s">
        <v>111</v>
      </c>
      <c r="C98" s="96" t="s">
        <v>314</v>
      </c>
      <c r="D98" s="210" t="s">
        <v>191</v>
      </c>
      <c r="E98" s="77" t="s">
        <v>192</v>
      </c>
      <c r="F98" s="100" t="s">
        <v>319</v>
      </c>
      <c r="G98" s="209" t="s">
        <v>372</v>
      </c>
      <c r="H98" s="100">
        <v>2</v>
      </c>
      <c r="I98" s="100">
        <v>1</v>
      </c>
      <c r="J98" s="100">
        <v>2</v>
      </c>
      <c r="K98" s="100">
        <v>2</v>
      </c>
      <c r="L98" s="244">
        <f t="shared" ref="L98:L101" si="9">AVERAGE(H98:K98)</f>
        <v>1.75</v>
      </c>
      <c r="M98" s="209"/>
    </row>
    <row r="99" spans="2:13" x14ac:dyDescent="0.2">
      <c r="B99" s="280" t="s">
        <v>113</v>
      </c>
      <c r="C99" s="96" t="s">
        <v>314</v>
      </c>
      <c r="D99" s="210" t="s">
        <v>194</v>
      </c>
      <c r="E99" s="77" t="s">
        <v>192</v>
      </c>
      <c r="F99" s="100" t="s">
        <v>319</v>
      </c>
      <c r="G99" s="209" t="s">
        <v>371</v>
      </c>
      <c r="H99" s="100">
        <v>2</v>
      </c>
      <c r="I99" s="100">
        <v>1</v>
      </c>
      <c r="J99" s="100">
        <v>2</v>
      </c>
      <c r="K99" s="100">
        <v>2</v>
      </c>
      <c r="L99" s="244">
        <f t="shared" si="9"/>
        <v>1.75</v>
      </c>
      <c r="M99" s="209"/>
    </row>
    <row r="100" spans="2:13" ht="13.7" customHeight="1" x14ac:dyDescent="0.2">
      <c r="B100" s="280" t="s">
        <v>115</v>
      </c>
      <c r="C100" s="96" t="s">
        <v>314</v>
      </c>
      <c r="D100" s="75" t="s">
        <v>226</v>
      </c>
      <c r="E100" s="77" t="s">
        <v>192</v>
      </c>
      <c r="F100" s="100" t="s">
        <v>319</v>
      </c>
      <c r="G100" s="209" t="s">
        <v>360</v>
      </c>
      <c r="H100" s="100">
        <v>2</v>
      </c>
      <c r="I100" s="100">
        <v>1</v>
      </c>
      <c r="J100" s="100">
        <v>2</v>
      </c>
      <c r="K100" s="100">
        <v>2</v>
      </c>
      <c r="L100" s="244">
        <f t="shared" si="9"/>
        <v>1.75</v>
      </c>
      <c r="M100" s="209"/>
    </row>
    <row r="101" spans="2:13" x14ac:dyDescent="0.2">
      <c r="B101" s="280" t="s">
        <v>33</v>
      </c>
      <c r="C101" s="96" t="s">
        <v>314</v>
      </c>
      <c r="D101" s="75" t="s">
        <v>285</v>
      </c>
      <c r="E101" s="77" t="s">
        <v>192</v>
      </c>
      <c r="F101" s="100" t="s">
        <v>319</v>
      </c>
      <c r="G101" s="209" t="s">
        <v>373</v>
      </c>
      <c r="H101" s="100">
        <v>2</v>
      </c>
      <c r="I101" s="100">
        <v>1</v>
      </c>
      <c r="J101" s="100">
        <v>2</v>
      </c>
      <c r="K101" s="100">
        <v>2</v>
      </c>
      <c r="L101" s="244">
        <f t="shared" si="9"/>
        <v>1.75</v>
      </c>
      <c r="M101" s="209"/>
    </row>
    <row r="102" spans="2:13" x14ac:dyDescent="0.2">
      <c r="B102" s="235" t="s">
        <v>307</v>
      </c>
      <c r="C102" s="235"/>
      <c r="D102" s="235"/>
      <c r="E102" s="262"/>
      <c r="F102" s="235"/>
      <c r="G102" s="235"/>
      <c r="H102" s="235"/>
      <c r="I102" s="235"/>
      <c r="J102" s="235"/>
      <c r="K102" s="235"/>
      <c r="L102" s="250"/>
      <c r="M102" s="235"/>
    </row>
    <row r="103" spans="2:13" ht="25.5" x14ac:dyDescent="0.2">
      <c r="B103" s="280" t="s">
        <v>308</v>
      </c>
      <c r="C103" s="96" t="s">
        <v>313</v>
      </c>
      <c r="D103" s="254" t="s">
        <v>277</v>
      </c>
      <c r="E103" s="96" t="s">
        <v>265</v>
      </c>
      <c r="F103" s="100" t="s">
        <v>319</v>
      </c>
      <c r="G103" s="209" t="s">
        <v>374</v>
      </c>
      <c r="H103" s="100">
        <v>2</v>
      </c>
      <c r="I103" s="100">
        <v>1</v>
      </c>
      <c r="J103" s="100">
        <v>2</v>
      </c>
      <c r="K103" s="100">
        <v>2</v>
      </c>
      <c r="L103" s="244">
        <f t="shared" ref="L103" si="10">AVERAGE(H103:K103)</f>
        <v>1.75</v>
      </c>
      <c r="M103" s="209"/>
    </row>
    <row r="104" spans="2:13" x14ac:dyDescent="0.2">
      <c r="B104" s="280" t="s">
        <v>309</v>
      </c>
      <c r="C104" s="96" t="s">
        <v>314</v>
      </c>
      <c r="D104" s="254" t="s">
        <v>170</v>
      </c>
      <c r="E104" s="96" t="s">
        <v>265</v>
      </c>
      <c r="F104" s="100" t="s">
        <v>319</v>
      </c>
      <c r="G104" s="209" t="s">
        <v>375</v>
      </c>
      <c r="H104" s="100">
        <v>2</v>
      </c>
      <c r="I104" s="100">
        <v>1</v>
      </c>
      <c r="J104" s="100">
        <v>2</v>
      </c>
      <c r="K104" s="100">
        <v>2</v>
      </c>
      <c r="L104" s="244">
        <f t="shared" ref="L104:L108" si="11">AVERAGE(H104:K104)</f>
        <v>1.75</v>
      </c>
      <c r="M104" s="209"/>
    </row>
    <row r="105" spans="2:13" x14ac:dyDescent="0.2">
      <c r="B105" s="280" t="s">
        <v>311</v>
      </c>
      <c r="C105" s="96" t="s">
        <v>313</v>
      </c>
      <c r="D105" s="254" t="s">
        <v>278</v>
      </c>
      <c r="E105" s="96" t="s">
        <v>265</v>
      </c>
      <c r="F105" s="100" t="s">
        <v>319</v>
      </c>
      <c r="G105" s="209" t="s">
        <v>376</v>
      </c>
      <c r="H105" s="100">
        <v>2</v>
      </c>
      <c r="I105" s="100">
        <v>1</v>
      </c>
      <c r="J105" s="100">
        <v>2</v>
      </c>
      <c r="K105" s="100">
        <v>2</v>
      </c>
      <c r="L105" s="244">
        <f t="shared" si="11"/>
        <v>1.75</v>
      </c>
      <c r="M105" s="209"/>
    </row>
    <row r="106" spans="2:13" x14ac:dyDescent="0.2">
      <c r="B106" s="280" t="s">
        <v>309</v>
      </c>
      <c r="C106" s="96" t="s">
        <v>314</v>
      </c>
      <c r="D106" s="254" t="s">
        <v>170</v>
      </c>
      <c r="E106" s="96" t="s">
        <v>265</v>
      </c>
      <c r="F106" s="100" t="s">
        <v>319</v>
      </c>
      <c r="G106" s="209" t="s">
        <v>375</v>
      </c>
      <c r="H106" s="100">
        <v>2</v>
      </c>
      <c r="I106" s="100">
        <v>1</v>
      </c>
      <c r="J106" s="100">
        <v>2</v>
      </c>
      <c r="K106" s="100">
        <v>2</v>
      </c>
      <c r="L106" s="244">
        <f t="shared" si="11"/>
        <v>1.75</v>
      </c>
      <c r="M106" s="209"/>
    </row>
    <row r="107" spans="2:13" x14ac:dyDescent="0.2">
      <c r="B107" s="280" t="s">
        <v>310</v>
      </c>
      <c r="C107" s="96" t="s">
        <v>397</v>
      </c>
      <c r="D107" s="254" t="s">
        <v>279</v>
      </c>
      <c r="E107" s="96" t="s">
        <v>265</v>
      </c>
      <c r="F107" s="100" t="s">
        <v>319</v>
      </c>
      <c r="G107" s="264" t="s">
        <v>320</v>
      </c>
      <c r="H107" s="100">
        <v>2</v>
      </c>
      <c r="I107" s="100">
        <v>1</v>
      </c>
      <c r="J107" s="100">
        <v>2</v>
      </c>
      <c r="K107" s="100">
        <v>2</v>
      </c>
      <c r="L107" s="244">
        <f t="shared" si="11"/>
        <v>1.75</v>
      </c>
      <c r="M107" s="209"/>
    </row>
    <row r="108" spans="2:13" x14ac:dyDescent="0.2">
      <c r="B108" s="280" t="s">
        <v>312</v>
      </c>
      <c r="C108" s="96" t="s">
        <v>313</v>
      </c>
      <c r="D108" s="254" t="s">
        <v>280</v>
      </c>
      <c r="E108" s="96" t="s">
        <v>265</v>
      </c>
      <c r="F108" s="100" t="s">
        <v>319</v>
      </c>
      <c r="G108" s="209" t="s">
        <v>377</v>
      </c>
      <c r="H108" s="100">
        <v>2</v>
      </c>
      <c r="I108" s="100">
        <v>1</v>
      </c>
      <c r="J108" s="100">
        <v>2</v>
      </c>
      <c r="K108" s="100">
        <v>2</v>
      </c>
      <c r="L108" s="244">
        <f t="shared" si="11"/>
        <v>1.75</v>
      </c>
      <c r="M108" s="209"/>
    </row>
    <row r="109" spans="2:13" x14ac:dyDescent="0.2">
      <c r="B109" s="235" t="s">
        <v>316</v>
      </c>
      <c r="C109" s="235"/>
      <c r="D109" s="235"/>
      <c r="E109" s="262"/>
      <c r="F109" s="235"/>
      <c r="G109" s="235"/>
      <c r="H109" s="235"/>
      <c r="I109" s="235"/>
      <c r="J109" s="235"/>
      <c r="K109" s="235"/>
      <c r="L109" s="250"/>
      <c r="M109" s="235"/>
    </row>
    <row r="110" spans="2:13" x14ac:dyDescent="0.2">
      <c r="B110" s="280" t="s">
        <v>310</v>
      </c>
      <c r="C110" s="96" t="s">
        <v>397</v>
      </c>
      <c r="D110" s="254" t="s">
        <v>279</v>
      </c>
      <c r="E110" s="96" t="s">
        <v>265</v>
      </c>
      <c r="F110" s="100" t="s">
        <v>319</v>
      </c>
      <c r="G110" s="264" t="s">
        <v>320</v>
      </c>
      <c r="H110" s="100">
        <v>2</v>
      </c>
      <c r="I110" s="100">
        <v>1</v>
      </c>
      <c r="J110" s="100">
        <v>1</v>
      </c>
      <c r="K110" s="100">
        <v>1</v>
      </c>
      <c r="L110" s="244">
        <f t="shared" ref="L110" si="12">AVERAGE(H110:K110)</f>
        <v>1.25</v>
      </c>
      <c r="M110" s="209"/>
    </row>
    <row r="111" spans="2:13" x14ac:dyDescent="0.2">
      <c r="B111" s="236" t="s">
        <v>317</v>
      </c>
      <c r="C111" s="237"/>
      <c r="D111" s="236"/>
      <c r="E111" s="238"/>
      <c r="F111" s="238"/>
      <c r="G111" s="238"/>
      <c r="H111" s="238"/>
      <c r="I111" s="238"/>
      <c r="J111" s="238"/>
      <c r="K111" s="238"/>
      <c r="L111" s="251"/>
      <c r="M111" s="238"/>
    </row>
    <row r="112" spans="2:13" x14ac:dyDescent="0.2">
      <c r="B112" s="464" t="s">
        <v>127</v>
      </c>
      <c r="C112" s="96" t="s">
        <v>397</v>
      </c>
      <c r="D112" s="254" t="s">
        <v>279</v>
      </c>
      <c r="E112" s="96" t="s">
        <v>265</v>
      </c>
      <c r="F112" s="100" t="s">
        <v>319</v>
      </c>
      <c r="G112" s="264" t="s">
        <v>320</v>
      </c>
      <c r="H112" s="100">
        <v>2</v>
      </c>
      <c r="I112" s="100">
        <v>1</v>
      </c>
      <c r="J112" s="100">
        <v>2</v>
      </c>
      <c r="K112" s="100">
        <v>2</v>
      </c>
      <c r="L112" s="244">
        <f t="shared" ref="L112" si="13">AVERAGE(H112:K112)</f>
        <v>1.75</v>
      </c>
      <c r="M112" s="209"/>
    </row>
    <row r="113" spans="2:13" x14ac:dyDescent="0.2">
      <c r="B113" s="464"/>
      <c r="C113" s="96" t="s">
        <v>397</v>
      </c>
      <c r="D113" s="280" t="s">
        <v>129</v>
      </c>
      <c r="E113" s="116" t="s">
        <v>192</v>
      </c>
      <c r="F113" s="100" t="s">
        <v>319</v>
      </c>
      <c r="G113" s="209" t="s">
        <v>378</v>
      </c>
      <c r="H113" s="100">
        <v>2</v>
      </c>
      <c r="I113" s="100">
        <v>1</v>
      </c>
      <c r="J113" s="100">
        <v>2</v>
      </c>
      <c r="K113" s="100">
        <v>2</v>
      </c>
      <c r="L113" s="244">
        <f t="shared" ref="L113:L135" si="14">AVERAGE(H113:K113)</f>
        <v>1.75</v>
      </c>
      <c r="M113" s="209"/>
    </row>
    <row r="114" spans="2:13" x14ac:dyDescent="0.2">
      <c r="B114" s="464"/>
      <c r="C114" s="96" t="s">
        <v>397</v>
      </c>
      <c r="D114" s="259" t="s">
        <v>241</v>
      </c>
      <c r="E114" s="116" t="s">
        <v>192</v>
      </c>
      <c r="F114" s="100" t="s">
        <v>319</v>
      </c>
      <c r="G114" s="209" t="s">
        <v>379</v>
      </c>
      <c r="H114" s="100">
        <v>2</v>
      </c>
      <c r="I114" s="100">
        <v>1</v>
      </c>
      <c r="J114" s="100">
        <v>2</v>
      </c>
      <c r="K114" s="100">
        <v>2</v>
      </c>
      <c r="L114" s="244">
        <f t="shared" si="14"/>
        <v>1.75</v>
      </c>
      <c r="M114" s="209"/>
    </row>
    <row r="115" spans="2:13" x14ac:dyDescent="0.2">
      <c r="B115" s="464"/>
      <c r="C115" s="96" t="s">
        <v>314</v>
      </c>
      <c r="D115" s="280" t="s">
        <v>117</v>
      </c>
      <c r="E115" s="77" t="s">
        <v>192</v>
      </c>
      <c r="F115" s="100" t="s">
        <v>319</v>
      </c>
      <c r="G115" s="264" t="s">
        <v>322</v>
      </c>
      <c r="H115" s="100">
        <v>2</v>
      </c>
      <c r="I115" s="100">
        <v>1</v>
      </c>
      <c r="J115" s="100">
        <v>2</v>
      </c>
      <c r="K115" s="100">
        <v>2</v>
      </c>
      <c r="L115" s="244">
        <f t="shared" si="14"/>
        <v>1.75</v>
      </c>
      <c r="M115" s="209"/>
    </row>
    <row r="116" spans="2:13" x14ac:dyDescent="0.2">
      <c r="B116" s="464"/>
      <c r="C116" s="96" t="s">
        <v>314</v>
      </c>
      <c r="D116" s="260" t="s">
        <v>238</v>
      </c>
      <c r="E116" s="216" t="s">
        <v>197</v>
      </c>
      <c r="F116" s="100" t="s">
        <v>319</v>
      </c>
      <c r="G116" s="209" t="s">
        <v>380</v>
      </c>
      <c r="H116" s="100">
        <v>2</v>
      </c>
      <c r="I116" s="100">
        <v>1</v>
      </c>
      <c r="J116" s="100">
        <v>2</v>
      </c>
      <c r="K116" s="100">
        <v>2</v>
      </c>
      <c r="L116" s="244">
        <f t="shared" si="14"/>
        <v>1.75</v>
      </c>
      <c r="M116" s="209"/>
    </row>
    <row r="117" spans="2:13" x14ac:dyDescent="0.2">
      <c r="B117" s="464"/>
      <c r="C117" s="96" t="s">
        <v>314</v>
      </c>
      <c r="D117" s="259" t="s">
        <v>132</v>
      </c>
      <c r="E117" s="77" t="s">
        <v>32</v>
      </c>
      <c r="F117" s="100" t="s">
        <v>319</v>
      </c>
      <c r="G117" s="209" t="s">
        <v>381</v>
      </c>
      <c r="H117" s="100">
        <v>2</v>
      </c>
      <c r="I117" s="100">
        <v>1</v>
      </c>
      <c r="J117" s="100">
        <v>2</v>
      </c>
      <c r="K117" s="100">
        <v>2</v>
      </c>
      <c r="L117" s="244">
        <f t="shared" si="14"/>
        <v>1.75</v>
      </c>
      <c r="M117" s="209"/>
    </row>
    <row r="118" spans="2:13" x14ac:dyDescent="0.2">
      <c r="B118" s="464"/>
      <c r="C118" s="96" t="s">
        <v>314</v>
      </c>
      <c r="D118" s="280" t="s">
        <v>230</v>
      </c>
      <c r="E118" s="77" t="s">
        <v>197</v>
      </c>
      <c r="F118" s="100" t="s">
        <v>319</v>
      </c>
      <c r="G118" s="209" t="s">
        <v>341</v>
      </c>
      <c r="H118" s="100">
        <v>2</v>
      </c>
      <c r="I118" s="100">
        <v>1</v>
      </c>
      <c r="J118" s="100">
        <v>2</v>
      </c>
      <c r="K118" s="100">
        <v>2</v>
      </c>
      <c r="L118" s="244">
        <f t="shared" si="14"/>
        <v>1.75</v>
      </c>
      <c r="M118" s="209"/>
    </row>
    <row r="119" spans="2:13" x14ac:dyDescent="0.2">
      <c r="B119" s="464"/>
      <c r="C119" s="96" t="s">
        <v>314</v>
      </c>
      <c r="D119" s="280" t="s">
        <v>382</v>
      </c>
      <c r="E119" s="77" t="s">
        <v>197</v>
      </c>
      <c r="F119" s="100" t="s">
        <v>319</v>
      </c>
      <c r="G119" s="209" t="s">
        <v>342</v>
      </c>
      <c r="H119" s="100">
        <v>2</v>
      </c>
      <c r="I119" s="100">
        <v>1</v>
      </c>
      <c r="J119" s="100">
        <v>2</v>
      </c>
      <c r="K119" s="100">
        <v>2</v>
      </c>
      <c r="L119" s="244">
        <f t="shared" si="14"/>
        <v>1.75</v>
      </c>
      <c r="M119" s="209"/>
    </row>
    <row r="120" spans="2:13" x14ac:dyDescent="0.2">
      <c r="B120" s="464"/>
      <c r="C120" s="96" t="s">
        <v>314</v>
      </c>
      <c r="D120" s="259" t="s">
        <v>240</v>
      </c>
      <c r="E120" s="116" t="s">
        <v>192</v>
      </c>
      <c r="F120" s="100" t="s">
        <v>319</v>
      </c>
      <c r="G120" s="209" t="s">
        <v>384</v>
      </c>
      <c r="H120" s="100">
        <v>2</v>
      </c>
      <c r="I120" s="100">
        <v>1</v>
      </c>
      <c r="J120" s="100">
        <v>2</v>
      </c>
      <c r="K120" s="100">
        <v>2</v>
      </c>
      <c r="L120" s="244">
        <f t="shared" si="14"/>
        <v>1.75</v>
      </c>
      <c r="M120" s="209"/>
    </row>
    <row r="121" spans="2:13" x14ac:dyDescent="0.2">
      <c r="B121" s="464"/>
      <c r="C121" s="96" t="s">
        <v>314</v>
      </c>
      <c r="D121" s="280" t="s">
        <v>216</v>
      </c>
      <c r="E121" s="77" t="s">
        <v>192</v>
      </c>
      <c r="F121" s="100" t="s">
        <v>319</v>
      </c>
      <c r="G121" s="209" t="s">
        <v>327</v>
      </c>
      <c r="H121" s="100">
        <v>2</v>
      </c>
      <c r="I121" s="100">
        <v>1</v>
      </c>
      <c r="J121" s="100">
        <v>2</v>
      </c>
      <c r="K121" s="100">
        <v>2</v>
      </c>
      <c r="L121" s="244">
        <f t="shared" si="14"/>
        <v>1.75</v>
      </c>
      <c r="M121" s="209"/>
    </row>
    <row r="122" spans="2:13" ht="13.7" customHeight="1" x14ac:dyDescent="0.2">
      <c r="B122" s="464" t="s">
        <v>135</v>
      </c>
      <c r="C122" s="96" t="s">
        <v>314</v>
      </c>
      <c r="D122" s="259" t="s">
        <v>241</v>
      </c>
      <c r="E122" s="116" t="s">
        <v>192</v>
      </c>
      <c r="F122" s="100" t="s">
        <v>319</v>
      </c>
      <c r="G122" s="209" t="s">
        <v>379</v>
      </c>
      <c r="H122" s="100">
        <v>2</v>
      </c>
      <c r="I122" s="100">
        <v>1</v>
      </c>
      <c r="J122" s="100">
        <v>2</v>
      </c>
      <c r="K122" s="100">
        <v>2</v>
      </c>
      <c r="L122" s="244">
        <f t="shared" si="14"/>
        <v>1.75</v>
      </c>
      <c r="M122" s="209"/>
    </row>
    <row r="123" spans="2:13" ht="15" customHeight="1" x14ac:dyDescent="0.2">
      <c r="B123" s="464"/>
      <c r="C123" s="96" t="s">
        <v>314</v>
      </c>
      <c r="D123" s="259" t="s">
        <v>242</v>
      </c>
      <c r="E123" s="116" t="s">
        <v>24</v>
      </c>
      <c r="F123" s="100" t="s">
        <v>319</v>
      </c>
      <c r="G123" s="265" t="s">
        <v>336</v>
      </c>
      <c r="H123" s="100">
        <v>2</v>
      </c>
      <c r="I123" s="100">
        <v>1</v>
      </c>
      <c r="J123" s="100">
        <v>1</v>
      </c>
      <c r="K123" s="100">
        <v>2</v>
      </c>
      <c r="L123" s="244">
        <f t="shared" si="14"/>
        <v>1.5</v>
      </c>
      <c r="M123" s="209"/>
    </row>
    <row r="124" spans="2:13" x14ac:dyDescent="0.2">
      <c r="B124" s="464"/>
      <c r="C124" s="96" t="s">
        <v>314</v>
      </c>
      <c r="D124" s="280" t="s">
        <v>214</v>
      </c>
      <c r="E124" s="77" t="s">
        <v>29</v>
      </c>
      <c r="F124" s="100" t="s">
        <v>319</v>
      </c>
      <c r="G124" s="265" t="s">
        <v>332</v>
      </c>
      <c r="H124" s="100">
        <v>2</v>
      </c>
      <c r="I124" s="100">
        <v>1</v>
      </c>
      <c r="J124" s="100">
        <v>2</v>
      </c>
      <c r="K124" s="100">
        <v>2</v>
      </c>
      <c r="L124" s="244">
        <f t="shared" si="14"/>
        <v>1.75</v>
      </c>
      <c r="M124" s="209"/>
    </row>
    <row r="125" spans="2:13" x14ac:dyDescent="0.2">
      <c r="B125" s="464"/>
      <c r="C125" s="96" t="s">
        <v>314</v>
      </c>
      <c r="D125" s="75" t="s">
        <v>500</v>
      </c>
      <c r="E125" s="77" t="s">
        <v>29</v>
      </c>
      <c r="F125" s="100" t="s">
        <v>319</v>
      </c>
      <c r="G125" s="387" t="s">
        <v>499</v>
      </c>
      <c r="H125" s="100">
        <v>2</v>
      </c>
      <c r="I125" s="100">
        <v>2</v>
      </c>
      <c r="J125" s="100">
        <v>2</v>
      </c>
      <c r="K125" s="100">
        <v>2</v>
      </c>
      <c r="L125" s="244">
        <f t="shared" si="14"/>
        <v>2</v>
      </c>
      <c r="M125" s="209"/>
    </row>
    <row r="126" spans="2:13" x14ac:dyDescent="0.2">
      <c r="B126" s="464"/>
      <c r="C126" s="96" t="s">
        <v>314</v>
      </c>
      <c r="D126" s="75" t="s">
        <v>200</v>
      </c>
      <c r="E126" s="77" t="s">
        <v>29</v>
      </c>
      <c r="F126" s="100" t="s">
        <v>319</v>
      </c>
      <c r="G126" s="265" t="s">
        <v>329</v>
      </c>
      <c r="H126" s="100">
        <v>2</v>
      </c>
      <c r="I126" s="100">
        <v>1</v>
      </c>
      <c r="J126" s="100">
        <v>2</v>
      </c>
      <c r="K126" s="100">
        <v>2</v>
      </c>
      <c r="L126" s="244">
        <f t="shared" si="14"/>
        <v>1.75</v>
      </c>
      <c r="M126" s="209"/>
    </row>
    <row r="127" spans="2:13" x14ac:dyDescent="0.2">
      <c r="B127" s="464"/>
      <c r="C127" s="96" t="s">
        <v>314</v>
      </c>
      <c r="D127" s="75" t="s">
        <v>479</v>
      </c>
      <c r="E127" s="77" t="s">
        <v>29</v>
      </c>
      <c r="F127" s="100" t="s">
        <v>319</v>
      </c>
      <c r="G127" s="209" t="s">
        <v>480</v>
      </c>
      <c r="H127" s="100">
        <v>2</v>
      </c>
      <c r="I127" s="100">
        <v>1</v>
      </c>
      <c r="J127" s="100">
        <v>2</v>
      </c>
      <c r="K127" s="100">
        <v>2</v>
      </c>
      <c r="L127" s="244">
        <f t="shared" si="14"/>
        <v>1.75</v>
      </c>
      <c r="M127" s="209"/>
    </row>
    <row r="128" spans="2:13" ht="25.5" x14ac:dyDescent="0.2">
      <c r="B128" s="464"/>
      <c r="C128" s="96" t="s">
        <v>314</v>
      </c>
      <c r="D128" s="75" t="s">
        <v>481</v>
      </c>
      <c r="E128" s="77" t="s">
        <v>192</v>
      </c>
      <c r="F128" s="100" t="s">
        <v>319</v>
      </c>
      <c r="G128" s="209" t="s">
        <v>482</v>
      </c>
      <c r="H128" s="100">
        <v>2</v>
      </c>
      <c r="I128" s="100">
        <v>1</v>
      </c>
      <c r="J128" s="100">
        <v>2</v>
      </c>
      <c r="K128" s="100">
        <v>2</v>
      </c>
      <c r="L128" s="244">
        <f t="shared" ref="L128" si="15">AVERAGE(H128:K128)</f>
        <v>1.75</v>
      </c>
      <c r="M128" s="209"/>
    </row>
    <row r="129" spans="2:13" x14ac:dyDescent="0.2">
      <c r="B129" s="464"/>
      <c r="C129" s="96" t="s">
        <v>314</v>
      </c>
      <c r="D129" s="75" t="s">
        <v>285</v>
      </c>
      <c r="E129" s="77" t="s">
        <v>192</v>
      </c>
      <c r="F129" s="100" t="s">
        <v>319</v>
      </c>
      <c r="G129" s="209" t="s">
        <v>373</v>
      </c>
      <c r="H129" s="100">
        <v>2</v>
      </c>
      <c r="I129" s="100">
        <v>1</v>
      </c>
      <c r="J129" s="100">
        <v>2</v>
      </c>
      <c r="K129" s="100">
        <v>2</v>
      </c>
      <c r="L129" s="244">
        <f t="shared" si="14"/>
        <v>1.75</v>
      </c>
      <c r="M129" s="209"/>
    </row>
    <row r="130" spans="2:13" ht="13.7" customHeight="1" x14ac:dyDescent="0.2">
      <c r="B130" s="458" t="s">
        <v>141</v>
      </c>
      <c r="C130" s="96" t="s">
        <v>314</v>
      </c>
      <c r="D130" s="142" t="s">
        <v>243</v>
      </c>
      <c r="E130" s="116" t="s">
        <v>192</v>
      </c>
      <c r="F130" s="100" t="s">
        <v>319</v>
      </c>
      <c r="G130" s="209" t="s">
        <v>385</v>
      </c>
      <c r="H130" s="100">
        <v>2</v>
      </c>
      <c r="I130" s="100">
        <v>1</v>
      </c>
      <c r="J130" s="100">
        <v>2</v>
      </c>
      <c r="K130" s="100">
        <v>2</v>
      </c>
      <c r="L130" s="244">
        <f t="shared" si="14"/>
        <v>1.75</v>
      </c>
      <c r="M130" s="209"/>
    </row>
    <row r="131" spans="2:13" ht="13.7" customHeight="1" x14ac:dyDescent="0.2">
      <c r="B131" s="458"/>
      <c r="C131" s="96" t="s">
        <v>314</v>
      </c>
      <c r="D131" s="142" t="s">
        <v>240</v>
      </c>
      <c r="E131" s="116" t="s">
        <v>192</v>
      </c>
      <c r="F131" s="100" t="s">
        <v>319</v>
      </c>
      <c r="G131" s="209" t="s">
        <v>384</v>
      </c>
      <c r="H131" s="100">
        <v>2</v>
      </c>
      <c r="I131" s="100">
        <v>1</v>
      </c>
      <c r="J131" s="100">
        <v>2</v>
      </c>
      <c r="K131" s="100">
        <v>2</v>
      </c>
      <c r="L131" s="244">
        <f t="shared" si="14"/>
        <v>1.75</v>
      </c>
      <c r="M131" s="209"/>
    </row>
    <row r="132" spans="2:13" ht="25.5" x14ac:dyDescent="0.2">
      <c r="B132" s="458"/>
      <c r="C132" s="96" t="s">
        <v>314</v>
      </c>
      <c r="D132" s="142" t="s">
        <v>244</v>
      </c>
      <c r="E132" s="100" t="s">
        <v>192</v>
      </c>
      <c r="F132" s="100" t="s">
        <v>319</v>
      </c>
      <c r="G132" s="209" t="s">
        <v>386</v>
      </c>
      <c r="H132" s="100">
        <v>2</v>
      </c>
      <c r="I132" s="100">
        <v>1</v>
      </c>
      <c r="J132" s="100">
        <v>2</v>
      </c>
      <c r="K132" s="100">
        <v>2</v>
      </c>
      <c r="L132" s="244">
        <f t="shared" si="14"/>
        <v>1.75</v>
      </c>
      <c r="M132" s="209"/>
    </row>
    <row r="133" spans="2:13" x14ac:dyDescent="0.2">
      <c r="B133" s="458"/>
      <c r="C133" s="96" t="s">
        <v>314</v>
      </c>
      <c r="D133" s="142" t="s">
        <v>245</v>
      </c>
      <c r="E133" s="116" t="s">
        <v>192</v>
      </c>
      <c r="F133" s="100" t="s">
        <v>319</v>
      </c>
      <c r="G133" s="209" t="s">
        <v>387</v>
      </c>
      <c r="H133" s="100">
        <v>2</v>
      </c>
      <c r="I133" s="100">
        <v>1</v>
      </c>
      <c r="J133" s="100">
        <v>2</v>
      </c>
      <c r="K133" s="100">
        <v>2</v>
      </c>
      <c r="L133" s="244">
        <f t="shared" si="14"/>
        <v>1.75</v>
      </c>
      <c r="M133" s="209"/>
    </row>
    <row r="134" spans="2:13" x14ac:dyDescent="0.2">
      <c r="B134" s="458"/>
      <c r="C134" s="96" t="s">
        <v>314</v>
      </c>
      <c r="D134" s="142" t="s">
        <v>243</v>
      </c>
      <c r="E134" s="116" t="s">
        <v>192</v>
      </c>
      <c r="F134" s="100" t="s">
        <v>319</v>
      </c>
      <c r="G134" s="209" t="s">
        <v>385</v>
      </c>
      <c r="H134" s="100">
        <v>2</v>
      </c>
      <c r="I134" s="100">
        <v>1</v>
      </c>
      <c r="J134" s="100">
        <v>2</v>
      </c>
      <c r="K134" s="100">
        <v>2</v>
      </c>
      <c r="L134" s="244">
        <f t="shared" si="14"/>
        <v>1.75</v>
      </c>
      <c r="M134" s="209"/>
    </row>
    <row r="135" spans="2:13" ht="25.5" x14ac:dyDescent="0.2">
      <c r="B135" s="458"/>
      <c r="C135" s="96" t="s">
        <v>314</v>
      </c>
      <c r="D135" s="142" t="s">
        <v>246</v>
      </c>
      <c r="E135" s="100" t="s">
        <v>192</v>
      </c>
      <c r="F135" s="100" t="s">
        <v>319</v>
      </c>
      <c r="G135" s="209" t="s">
        <v>388</v>
      </c>
      <c r="H135" s="100">
        <v>2</v>
      </c>
      <c r="I135" s="100">
        <v>1</v>
      </c>
      <c r="J135" s="100">
        <v>2</v>
      </c>
      <c r="K135" s="100">
        <v>2</v>
      </c>
      <c r="L135" s="244">
        <f t="shared" si="14"/>
        <v>1.75</v>
      </c>
      <c r="M135" s="209"/>
    </row>
    <row r="136" spans="2:13" x14ac:dyDescent="0.2">
      <c r="B136" s="464" t="s">
        <v>148</v>
      </c>
      <c r="C136" s="96" t="s">
        <v>314</v>
      </c>
      <c r="D136" s="142" t="s">
        <v>194</v>
      </c>
      <c r="E136" s="77" t="s">
        <v>192</v>
      </c>
      <c r="F136" s="100" t="s">
        <v>319</v>
      </c>
      <c r="G136" s="209" t="s">
        <v>371</v>
      </c>
      <c r="H136" s="100">
        <v>2</v>
      </c>
      <c r="I136" s="100">
        <v>1</v>
      </c>
      <c r="J136" s="100">
        <v>2</v>
      </c>
      <c r="K136" s="100">
        <v>2</v>
      </c>
      <c r="L136" s="244">
        <f t="shared" ref="L136:L157" si="16">AVERAGE(H136:K136)</f>
        <v>1.75</v>
      </c>
      <c r="M136" s="209"/>
    </row>
    <row r="137" spans="2:13" x14ac:dyDescent="0.2">
      <c r="B137" s="464"/>
      <c r="C137" s="96" t="s">
        <v>314</v>
      </c>
      <c r="D137" s="261" t="s">
        <v>243</v>
      </c>
      <c r="E137" s="216" t="s">
        <v>192</v>
      </c>
      <c r="F137" s="100" t="s">
        <v>319</v>
      </c>
      <c r="G137" s="209" t="s">
        <v>385</v>
      </c>
      <c r="H137" s="100">
        <v>2</v>
      </c>
      <c r="I137" s="100">
        <v>1</v>
      </c>
      <c r="J137" s="100">
        <v>2</v>
      </c>
      <c r="K137" s="100">
        <v>2</v>
      </c>
      <c r="L137" s="244">
        <f t="shared" si="16"/>
        <v>1.75</v>
      </c>
      <c r="M137" s="209"/>
    </row>
    <row r="138" spans="2:13" x14ac:dyDescent="0.2">
      <c r="B138" s="464"/>
      <c r="C138" s="96" t="s">
        <v>314</v>
      </c>
      <c r="D138" s="75" t="s">
        <v>479</v>
      </c>
      <c r="E138" s="77" t="s">
        <v>29</v>
      </c>
      <c r="F138" s="100" t="s">
        <v>319</v>
      </c>
      <c r="G138" s="209" t="s">
        <v>480</v>
      </c>
      <c r="H138" s="100">
        <v>2</v>
      </c>
      <c r="I138" s="100">
        <v>1</v>
      </c>
      <c r="J138" s="100">
        <v>2</v>
      </c>
      <c r="K138" s="100">
        <v>2</v>
      </c>
      <c r="L138" s="244">
        <f t="shared" si="16"/>
        <v>1.75</v>
      </c>
      <c r="M138" s="209"/>
    </row>
    <row r="139" spans="2:13" ht="25.5" x14ac:dyDescent="0.2">
      <c r="B139" s="464"/>
      <c r="C139" s="96" t="s">
        <v>314</v>
      </c>
      <c r="D139" s="75" t="s">
        <v>481</v>
      </c>
      <c r="E139" s="77" t="s">
        <v>192</v>
      </c>
      <c r="F139" s="100" t="s">
        <v>319</v>
      </c>
      <c r="G139" s="209" t="s">
        <v>482</v>
      </c>
      <c r="H139" s="100">
        <v>2</v>
      </c>
      <c r="I139" s="100">
        <v>1</v>
      </c>
      <c r="J139" s="100">
        <v>2</v>
      </c>
      <c r="K139" s="100">
        <v>2</v>
      </c>
      <c r="L139" s="244">
        <f t="shared" ref="L139" si="17">AVERAGE(H139:K139)</f>
        <v>1.75</v>
      </c>
      <c r="M139" s="209"/>
    </row>
    <row r="140" spans="2:13" x14ac:dyDescent="0.2">
      <c r="B140" s="464"/>
      <c r="C140" s="96" t="s">
        <v>314</v>
      </c>
      <c r="D140" s="142" t="s">
        <v>247</v>
      </c>
      <c r="E140" s="116" t="s">
        <v>192</v>
      </c>
      <c r="F140" s="100" t="s">
        <v>319</v>
      </c>
      <c r="G140" s="209" t="s">
        <v>389</v>
      </c>
      <c r="H140" s="100">
        <v>2</v>
      </c>
      <c r="I140" s="100">
        <v>1</v>
      </c>
      <c r="J140" s="100">
        <v>2</v>
      </c>
      <c r="K140" s="100">
        <v>2</v>
      </c>
      <c r="L140" s="244">
        <f t="shared" si="16"/>
        <v>1.75</v>
      </c>
      <c r="M140" s="209"/>
    </row>
    <row r="141" spans="2:13" x14ac:dyDescent="0.2">
      <c r="B141" s="464"/>
      <c r="C141" s="96" t="s">
        <v>314</v>
      </c>
      <c r="D141" s="75" t="s">
        <v>285</v>
      </c>
      <c r="E141" s="77" t="s">
        <v>192</v>
      </c>
      <c r="F141" s="100" t="s">
        <v>319</v>
      </c>
      <c r="G141" s="209" t="s">
        <v>373</v>
      </c>
      <c r="H141" s="100">
        <v>2</v>
      </c>
      <c r="I141" s="100">
        <v>1</v>
      </c>
      <c r="J141" s="100">
        <v>2</v>
      </c>
      <c r="K141" s="100">
        <v>2</v>
      </c>
      <c r="L141" s="244">
        <f t="shared" si="16"/>
        <v>1.75</v>
      </c>
      <c r="M141" s="209"/>
    </row>
    <row r="142" spans="2:13" ht="26.45" customHeight="1" x14ac:dyDescent="0.2">
      <c r="B142" s="458" t="s">
        <v>271</v>
      </c>
      <c r="C142" s="96" t="s">
        <v>314</v>
      </c>
      <c r="D142" s="75" t="s">
        <v>244</v>
      </c>
      <c r="E142" s="100" t="s">
        <v>192</v>
      </c>
      <c r="F142" s="100" t="s">
        <v>319</v>
      </c>
      <c r="G142" s="209" t="s">
        <v>386</v>
      </c>
      <c r="H142" s="100">
        <v>2</v>
      </c>
      <c r="I142" s="100">
        <v>1</v>
      </c>
      <c r="J142" s="100">
        <v>2</v>
      </c>
      <c r="K142" s="100">
        <v>2</v>
      </c>
      <c r="L142" s="244">
        <f t="shared" si="16"/>
        <v>1.75</v>
      </c>
      <c r="M142" s="209"/>
    </row>
    <row r="143" spans="2:13" ht="25.5" x14ac:dyDescent="0.2">
      <c r="B143" s="458"/>
      <c r="C143" s="96" t="s">
        <v>314</v>
      </c>
      <c r="D143" s="142" t="s">
        <v>246</v>
      </c>
      <c r="E143" s="100" t="s">
        <v>192</v>
      </c>
      <c r="F143" s="100" t="s">
        <v>319</v>
      </c>
      <c r="G143" s="209" t="s">
        <v>388</v>
      </c>
      <c r="H143" s="100">
        <v>2</v>
      </c>
      <c r="I143" s="100">
        <v>1</v>
      </c>
      <c r="J143" s="100">
        <v>2</v>
      </c>
      <c r="K143" s="100">
        <v>2</v>
      </c>
      <c r="L143" s="244">
        <f t="shared" si="16"/>
        <v>1.75</v>
      </c>
      <c r="M143" s="209"/>
    </row>
    <row r="144" spans="2:13" x14ac:dyDescent="0.2">
      <c r="B144" s="458"/>
      <c r="C144" s="96" t="s">
        <v>314</v>
      </c>
      <c r="D144" s="142" t="s">
        <v>243</v>
      </c>
      <c r="E144" s="100" t="s">
        <v>192</v>
      </c>
      <c r="F144" s="100" t="s">
        <v>319</v>
      </c>
      <c r="G144" s="209" t="s">
        <v>385</v>
      </c>
      <c r="H144" s="100">
        <v>2</v>
      </c>
      <c r="I144" s="100">
        <v>1</v>
      </c>
      <c r="J144" s="100">
        <v>2</v>
      </c>
      <c r="K144" s="100">
        <v>2</v>
      </c>
      <c r="L144" s="244">
        <f t="shared" si="16"/>
        <v>1.75</v>
      </c>
      <c r="M144" s="209"/>
    </row>
    <row r="145" spans="2:13" ht="25.5" x14ac:dyDescent="0.2">
      <c r="B145" s="464" t="s">
        <v>268</v>
      </c>
      <c r="C145" s="96" t="s">
        <v>314</v>
      </c>
      <c r="D145" s="142" t="s">
        <v>246</v>
      </c>
      <c r="E145" s="100" t="s">
        <v>192</v>
      </c>
      <c r="F145" s="100" t="s">
        <v>319</v>
      </c>
      <c r="G145" s="209" t="s">
        <v>388</v>
      </c>
      <c r="H145" s="100">
        <v>2</v>
      </c>
      <c r="I145" s="100">
        <v>1</v>
      </c>
      <c r="J145" s="100">
        <v>2</v>
      </c>
      <c r="K145" s="100">
        <v>2</v>
      </c>
      <c r="L145" s="244">
        <f t="shared" si="16"/>
        <v>1.75</v>
      </c>
      <c r="M145" s="209"/>
    </row>
    <row r="146" spans="2:13" x14ac:dyDescent="0.2">
      <c r="B146" s="464"/>
      <c r="C146" s="96" t="s">
        <v>314</v>
      </c>
      <c r="D146" s="142" t="s">
        <v>248</v>
      </c>
      <c r="E146" s="100" t="s">
        <v>192</v>
      </c>
      <c r="F146" s="100" t="s">
        <v>319</v>
      </c>
      <c r="G146" s="209" t="s">
        <v>390</v>
      </c>
      <c r="H146" s="100">
        <v>2</v>
      </c>
      <c r="I146" s="100">
        <v>1</v>
      </c>
      <c r="J146" s="100">
        <v>2</v>
      </c>
      <c r="K146" s="100">
        <v>2</v>
      </c>
      <c r="L146" s="244">
        <f t="shared" si="16"/>
        <v>1.75</v>
      </c>
      <c r="M146" s="209"/>
    </row>
    <row r="147" spans="2:13" ht="25.5" x14ac:dyDescent="0.2">
      <c r="B147" s="464"/>
      <c r="C147" s="96" t="s">
        <v>314</v>
      </c>
      <c r="D147" s="142" t="s">
        <v>249</v>
      </c>
      <c r="E147" s="100" t="s">
        <v>192</v>
      </c>
      <c r="F147" s="100" t="s">
        <v>319</v>
      </c>
      <c r="G147" s="209" t="s">
        <v>391</v>
      </c>
      <c r="H147" s="100">
        <v>2</v>
      </c>
      <c r="I147" s="100">
        <v>1</v>
      </c>
      <c r="J147" s="100">
        <v>2</v>
      </c>
      <c r="K147" s="100">
        <v>2</v>
      </c>
      <c r="L147" s="244">
        <f t="shared" si="16"/>
        <v>1.75</v>
      </c>
      <c r="M147" s="209"/>
    </row>
    <row r="148" spans="2:13" ht="25.5" x14ac:dyDescent="0.2">
      <c r="B148" s="464"/>
      <c r="C148" s="96" t="s">
        <v>314</v>
      </c>
      <c r="D148" s="142" t="s">
        <v>250</v>
      </c>
      <c r="E148" s="100" t="s">
        <v>192</v>
      </c>
      <c r="F148" s="100" t="s">
        <v>319</v>
      </c>
      <c r="G148" s="209" t="s">
        <v>392</v>
      </c>
      <c r="H148" s="100">
        <v>2</v>
      </c>
      <c r="I148" s="100">
        <v>1</v>
      </c>
      <c r="J148" s="100">
        <v>2</v>
      </c>
      <c r="K148" s="100">
        <v>2</v>
      </c>
      <c r="L148" s="244">
        <f t="shared" si="16"/>
        <v>1.75</v>
      </c>
      <c r="M148" s="209"/>
    </row>
    <row r="149" spans="2:13" x14ac:dyDescent="0.2">
      <c r="B149" s="464" t="s">
        <v>270</v>
      </c>
      <c r="C149" s="96" t="s">
        <v>314</v>
      </c>
      <c r="D149" s="142" t="s">
        <v>194</v>
      </c>
      <c r="E149" s="77" t="s">
        <v>192</v>
      </c>
      <c r="F149" s="100" t="s">
        <v>319</v>
      </c>
      <c r="G149" s="209" t="s">
        <v>371</v>
      </c>
      <c r="H149" s="100">
        <v>2</v>
      </c>
      <c r="I149" s="100">
        <v>1</v>
      </c>
      <c r="J149" s="100">
        <v>2</v>
      </c>
      <c r="K149" s="100">
        <v>2</v>
      </c>
      <c r="L149" s="244">
        <f t="shared" si="16"/>
        <v>1.75</v>
      </c>
      <c r="M149" s="209"/>
    </row>
    <row r="150" spans="2:13" x14ac:dyDescent="0.2">
      <c r="B150" s="464"/>
      <c r="C150" s="96" t="s">
        <v>314</v>
      </c>
      <c r="D150" s="75" t="s">
        <v>479</v>
      </c>
      <c r="E150" s="77" t="s">
        <v>29</v>
      </c>
      <c r="F150" s="100" t="s">
        <v>319</v>
      </c>
      <c r="G150" s="209" t="s">
        <v>480</v>
      </c>
      <c r="H150" s="100">
        <v>2</v>
      </c>
      <c r="I150" s="100">
        <v>1</v>
      </c>
      <c r="J150" s="100">
        <v>2</v>
      </c>
      <c r="K150" s="100">
        <v>2</v>
      </c>
      <c r="L150" s="244">
        <f t="shared" si="16"/>
        <v>1.75</v>
      </c>
      <c r="M150" s="209"/>
    </row>
    <row r="151" spans="2:13" ht="25.5" x14ac:dyDescent="0.2">
      <c r="B151" s="464"/>
      <c r="C151" s="96" t="s">
        <v>314</v>
      </c>
      <c r="D151" s="75" t="s">
        <v>481</v>
      </c>
      <c r="E151" s="77" t="s">
        <v>192</v>
      </c>
      <c r="F151" s="100" t="s">
        <v>319</v>
      </c>
      <c r="G151" s="209" t="s">
        <v>482</v>
      </c>
      <c r="H151" s="100">
        <v>2</v>
      </c>
      <c r="I151" s="100">
        <v>1</v>
      </c>
      <c r="J151" s="100">
        <v>2</v>
      </c>
      <c r="K151" s="100">
        <v>2</v>
      </c>
      <c r="L151" s="244">
        <f t="shared" ref="L151" si="18">AVERAGE(H151:K151)</f>
        <v>1.75</v>
      </c>
      <c r="M151" s="209"/>
    </row>
    <row r="152" spans="2:13" x14ac:dyDescent="0.2">
      <c r="B152" s="464"/>
      <c r="C152" s="96" t="s">
        <v>314</v>
      </c>
      <c r="D152" s="75" t="s">
        <v>285</v>
      </c>
      <c r="E152" s="77" t="s">
        <v>192</v>
      </c>
      <c r="F152" s="100" t="s">
        <v>319</v>
      </c>
      <c r="G152" s="209" t="s">
        <v>373</v>
      </c>
      <c r="H152" s="100">
        <v>2</v>
      </c>
      <c r="I152" s="100">
        <v>1</v>
      </c>
      <c r="J152" s="100">
        <v>2</v>
      </c>
      <c r="K152" s="100">
        <v>2</v>
      </c>
      <c r="L152" s="244">
        <f t="shared" si="16"/>
        <v>1.75</v>
      </c>
      <c r="M152" s="209"/>
    </row>
    <row r="153" spans="2:13" x14ac:dyDescent="0.2">
      <c r="B153" s="464"/>
      <c r="C153" s="96" t="s">
        <v>314</v>
      </c>
      <c r="D153" s="142" t="s">
        <v>247</v>
      </c>
      <c r="E153" s="116" t="s">
        <v>192</v>
      </c>
      <c r="F153" s="100" t="s">
        <v>319</v>
      </c>
      <c r="G153" s="209" t="s">
        <v>389</v>
      </c>
      <c r="H153" s="100">
        <v>2</v>
      </c>
      <c r="I153" s="100">
        <v>1</v>
      </c>
      <c r="J153" s="100">
        <v>2</v>
      </c>
      <c r="K153" s="100">
        <v>2</v>
      </c>
      <c r="L153" s="244">
        <f t="shared" si="16"/>
        <v>1.75</v>
      </c>
      <c r="M153" s="209"/>
    </row>
    <row r="154" spans="2:13" x14ac:dyDescent="0.2">
      <c r="B154" s="464" t="s">
        <v>269</v>
      </c>
      <c r="C154" s="96" t="s">
        <v>314</v>
      </c>
      <c r="D154" s="75" t="s">
        <v>479</v>
      </c>
      <c r="E154" s="77" t="s">
        <v>29</v>
      </c>
      <c r="F154" s="100" t="s">
        <v>319</v>
      </c>
      <c r="G154" s="209" t="s">
        <v>480</v>
      </c>
      <c r="H154" s="100">
        <v>2</v>
      </c>
      <c r="I154" s="100">
        <v>1</v>
      </c>
      <c r="J154" s="100">
        <v>2</v>
      </c>
      <c r="K154" s="100">
        <v>2</v>
      </c>
      <c r="L154" s="244">
        <f t="shared" si="16"/>
        <v>1.75</v>
      </c>
      <c r="M154" s="209"/>
    </row>
    <row r="155" spans="2:13" ht="25.5" x14ac:dyDescent="0.2">
      <c r="B155" s="464"/>
      <c r="C155" s="96" t="s">
        <v>314</v>
      </c>
      <c r="D155" s="75" t="s">
        <v>481</v>
      </c>
      <c r="E155" s="77" t="s">
        <v>192</v>
      </c>
      <c r="F155" s="100" t="s">
        <v>319</v>
      </c>
      <c r="G155" s="209" t="s">
        <v>482</v>
      </c>
      <c r="H155" s="100">
        <v>2</v>
      </c>
      <c r="I155" s="100">
        <v>1</v>
      </c>
      <c r="J155" s="100">
        <v>2</v>
      </c>
      <c r="K155" s="100">
        <v>2</v>
      </c>
      <c r="L155" s="244">
        <f t="shared" ref="L155" si="19">AVERAGE(H155:K155)</f>
        <v>1.75</v>
      </c>
      <c r="M155" s="209"/>
    </row>
    <row r="156" spans="2:13" x14ac:dyDescent="0.2">
      <c r="B156" s="464"/>
      <c r="C156" s="96" t="s">
        <v>314</v>
      </c>
      <c r="D156" s="142" t="s">
        <v>252</v>
      </c>
      <c r="E156" s="116" t="s">
        <v>29</v>
      </c>
      <c r="F156" s="100" t="s">
        <v>319</v>
      </c>
      <c r="G156" s="209" t="s">
        <v>393</v>
      </c>
      <c r="H156" s="100">
        <v>2</v>
      </c>
      <c r="I156" s="100">
        <v>1</v>
      </c>
      <c r="J156" s="100">
        <v>2</v>
      </c>
      <c r="K156" s="100">
        <v>2</v>
      </c>
      <c r="L156" s="244">
        <f t="shared" si="16"/>
        <v>1.75</v>
      </c>
      <c r="M156" s="209"/>
    </row>
    <row r="157" spans="2:13" x14ac:dyDescent="0.2">
      <c r="B157" s="464"/>
      <c r="C157" s="96" t="s">
        <v>314</v>
      </c>
      <c r="D157" s="142" t="s">
        <v>253</v>
      </c>
      <c r="E157" s="116" t="s">
        <v>29</v>
      </c>
      <c r="F157" s="100" t="s">
        <v>319</v>
      </c>
      <c r="G157" s="209" t="s">
        <v>394</v>
      </c>
      <c r="H157" s="100">
        <v>2</v>
      </c>
      <c r="I157" s="100">
        <v>1</v>
      </c>
      <c r="J157" s="100">
        <v>2</v>
      </c>
      <c r="K157" s="100">
        <v>2</v>
      </c>
      <c r="L157" s="244">
        <f t="shared" si="16"/>
        <v>1.75</v>
      </c>
      <c r="M157" s="209"/>
    </row>
    <row r="158" spans="2:13" x14ac:dyDescent="0.2">
      <c r="B158" s="464"/>
      <c r="C158" s="96" t="s">
        <v>314</v>
      </c>
      <c r="D158" s="142" t="s">
        <v>254</v>
      </c>
      <c r="E158" s="116" t="s">
        <v>29</v>
      </c>
      <c r="F158" s="100" t="s">
        <v>319</v>
      </c>
      <c r="G158" s="209" t="s">
        <v>395</v>
      </c>
      <c r="H158" s="100">
        <v>2</v>
      </c>
      <c r="I158" s="100">
        <v>1</v>
      </c>
      <c r="J158" s="100">
        <v>2</v>
      </c>
      <c r="K158" s="100">
        <v>2</v>
      </c>
      <c r="L158" s="244">
        <f t="shared" ref="L158:L162" si="20">AVERAGE(H158:K158)</f>
        <v>1.75</v>
      </c>
      <c r="M158" s="209"/>
    </row>
    <row r="159" spans="2:13" x14ac:dyDescent="0.2">
      <c r="B159" s="464"/>
      <c r="C159" s="96" t="s">
        <v>314</v>
      </c>
      <c r="D159" s="142" t="s">
        <v>251</v>
      </c>
      <c r="E159" s="116" t="s">
        <v>192</v>
      </c>
      <c r="F159" s="100" t="s">
        <v>319</v>
      </c>
      <c r="G159" s="209" t="s">
        <v>396</v>
      </c>
      <c r="H159" s="100">
        <v>2</v>
      </c>
      <c r="I159" s="100">
        <v>1</v>
      </c>
      <c r="J159" s="100">
        <v>2</v>
      </c>
      <c r="K159" s="100">
        <v>2</v>
      </c>
      <c r="L159" s="244">
        <f t="shared" si="20"/>
        <v>1.75</v>
      </c>
      <c r="M159" s="209"/>
    </row>
    <row r="160" spans="2:13" x14ac:dyDescent="0.2">
      <c r="B160" s="464"/>
      <c r="C160" s="96" t="s">
        <v>314</v>
      </c>
      <c r="D160" s="142" t="s">
        <v>245</v>
      </c>
      <c r="E160" s="116" t="s">
        <v>192</v>
      </c>
      <c r="F160" s="100" t="s">
        <v>319</v>
      </c>
      <c r="G160" s="209" t="s">
        <v>387</v>
      </c>
      <c r="H160" s="100">
        <v>2</v>
      </c>
      <c r="I160" s="100">
        <v>1</v>
      </c>
      <c r="J160" s="100">
        <v>2</v>
      </c>
      <c r="K160" s="100">
        <v>2</v>
      </c>
      <c r="L160" s="244">
        <f t="shared" si="20"/>
        <v>1.75</v>
      </c>
      <c r="M160" s="209"/>
    </row>
    <row r="161" spans="2:13" x14ac:dyDescent="0.2">
      <c r="B161" s="464" t="s">
        <v>274</v>
      </c>
      <c r="C161" s="96" t="s">
        <v>314</v>
      </c>
      <c r="D161" s="142" t="s">
        <v>251</v>
      </c>
      <c r="E161" s="116" t="s">
        <v>192</v>
      </c>
      <c r="F161" s="100" t="s">
        <v>319</v>
      </c>
      <c r="G161" s="209" t="s">
        <v>396</v>
      </c>
      <c r="H161" s="100">
        <v>2</v>
      </c>
      <c r="I161" s="100">
        <v>1</v>
      </c>
      <c r="J161" s="100">
        <v>2</v>
      </c>
      <c r="K161" s="100">
        <v>2</v>
      </c>
      <c r="L161" s="244">
        <f t="shared" si="20"/>
        <v>1.75</v>
      </c>
      <c r="M161" s="209"/>
    </row>
    <row r="162" spans="2:13" x14ac:dyDescent="0.2">
      <c r="B162" s="464"/>
      <c r="C162" s="96" t="s">
        <v>314</v>
      </c>
      <c r="D162" s="142" t="s">
        <v>245</v>
      </c>
      <c r="E162" s="116" t="s">
        <v>192</v>
      </c>
      <c r="F162" s="100" t="s">
        <v>319</v>
      </c>
      <c r="G162" s="209" t="s">
        <v>387</v>
      </c>
      <c r="H162" s="100">
        <v>2</v>
      </c>
      <c r="I162" s="100">
        <v>1</v>
      </c>
      <c r="J162" s="100">
        <v>2</v>
      </c>
      <c r="K162" s="100">
        <v>2</v>
      </c>
      <c r="L162" s="244">
        <f t="shared" si="20"/>
        <v>1.75</v>
      </c>
      <c r="M162" s="209"/>
    </row>
    <row r="163" spans="2:13" x14ac:dyDescent="0.2">
      <c r="L163" s="263">
        <f>AVERAGE(L6:L162)</f>
        <v>1.9818840579710144</v>
      </c>
    </row>
  </sheetData>
  <mergeCells count="27">
    <mergeCell ref="B154:B160"/>
    <mergeCell ref="B161:B162"/>
    <mergeCell ref="B112:B121"/>
    <mergeCell ref="B122:B129"/>
    <mergeCell ref="B130:B135"/>
    <mergeCell ref="B145:B148"/>
    <mergeCell ref="B149:B153"/>
    <mergeCell ref="B136:B141"/>
    <mergeCell ref="B142:B144"/>
    <mergeCell ref="B29:B35"/>
    <mergeCell ref="B36:B37"/>
    <mergeCell ref="B2:B3"/>
    <mergeCell ref="C2:C3"/>
    <mergeCell ref="D2:D3"/>
    <mergeCell ref="E2:E3"/>
    <mergeCell ref="M2:M3"/>
    <mergeCell ref="B10:B13"/>
    <mergeCell ref="B24:B25"/>
    <mergeCell ref="F2:F3"/>
    <mergeCell ref="G2:G3"/>
    <mergeCell ref="H2:L2"/>
    <mergeCell ref="B86:B90"/>
    <mergeCell ref="B92:B93"/>
    <mergeCell ref="B63:B64"/>
    <mergeCell ref="B45:B48"/>
    <mergeCell ref="B61:B62"/>
    <mergeCell ref="B68:B69"/>
  </mergeCells>
  <conditionalFormatting sqref="D113">
    <cfRule type="duplicateValues" dxfId="1" priority="1"/>
    <cfRule type="containsText" dxfId="0" priority="2" operator="containsText" text="Default PEFCR LCI Name">
      <formula>NOT(ISERROR(SEARCH("Default PEFCR LCI Name",D113)))</formula>
    </cfRule>
  </conditionalFormatting>
  <pageMargins left="0.7" right="0.7" top="0.78740157499999996" bottom="0.78740157499999996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R66"/>
  <sheetViews>
    <sheetView topLeftCell="A30" zoomScale="70" zoomScaleNormal="70" workbookViewId="0">
      <selection activeCell="I40" sqref="I40"/>
    </sheetView>
  </sheetViews>
  <sheetFormatPr defaultColWidth="11" defaultRowHeight="14.25" x14ac:dyDescent="0.2"/>
  <cols>
    <col min="1" max="1" width="5.75" customWidth="1"/>
    <col min="2" max="2" width="38.125" style="283" customWidth="1"/>
    <col min="3" max="3" width="15.75" style="321" customWidth="1"/>
    <col min="4" max="4" width="15.75" style="320" customWidth="1"/>
    <col min="5" max="5" width="15.75" style="319" customWidth="1"/>
    <col min="6" max="6" width="15.75" style="315" customWidth="1"/>
    <col min="7" max="7" width="7.75" style="284" customWidth="1"/>
    <col min="8" max="8" width="37.625" style="285" customWidth="1"/>
    <col min="9" max="10" width="15.75" style="286" customWidth="1"/>
    <col min="11" max="11" width="15.75" style="277" customWidth="1"/>
    <col min="12" max="12" width="15.75" style="283" customWidth="1"/>
  </cols>
  <sheetData>
    <row r="1" spans="1:18" x14ac:dyDescent="0.2">
      <c r="A1" s="1"/>
      <c r="B1" s="309"/>
      <c r="C1" s="317"/>
      <c r="D1" s="318"/>
      <c r="E1" s="317"/>
      <c r="F1" s="318"/>
      <c r="G1" s="277"/>
      <c r="H1" s="283"/>
      <c r="I1"/>
      <c r="J1"/>
      <c r="K1"/>
      <c r="L1"/>
    </row>
    <row r="2" spans="1:18" ht="18" x14ac:dyDescent="0.25">
      <c r="B2" s="310" t="s">
        <v>398</v>
      </c>
      <c r="C2" s="317"/>
      <c r="D2" s="318"/>
      <c r="E2" s="317"/>
      <c r="F2" s="318"/>
      <c r="G2" s="277"/>
      <c r="H2" s="283"/>
      <c r="I2"/>
      <c r="J2"/>
      <c r="K2"/>
      <c r="L2"/>
    </row>
    <row r="3" spans="1:18" ht="13.7" customHeight="1" x14ac:dyDescent="0.25">
      <c r="B3" s="310"/>
      <c r="C3" s="317"/>
      <c r="D3" s="318"/>
      <c r="E3" s="317"/>
      <c r="F3" s="318"/>
      <c r="G3" s="277"/>
      <c r="H3" s="283"/>
      <c r="I3"/>
      <c r="J3"/>
      <c r="K3"/>
      <c r="L3"/>
    </row>
    <row r="4" spans="1:18" ht="18" x14ac:dyDescent="0.25">
      <c r="B4" s="311"/>
      <c r="C4" s="319"/>
      <c r="D4" s="315"/>
      <c r="G4" s="277"/>
      <c r="H4" s="241"/>
      <c r="I4" s="320"/>
      <c r="J4" s="315"/>
      <c r="K4" s="315"/>
      <c r="L4" s="316"/>
    </row>
    <row r="5" spans="1:18" ht="15" x14ac:dyDescent="0.25">
      <c r="B5" s="241" t="s">
        <v>489</v>
      </c>
      <c r="C5" s="320"/>
      <c r="D5" s="315"/>
      <c r="E5" s="315"/>
      <c r="F5" s="316"/>
      <c r="G5" s="277"/>
      <c r="H5" s="277"/>
      <c r="I5" s="277"/>
      <c r="J5" s="277"/>
      <c r="L5" s="277"/>
    </row>
    <row r="6" spans="1:18" ht="30" customHeight="1" x14ac:dyDescent="0.2">
      <c r="B6" s="473" t="s">
        <v>401</v>
      </c>
      <c r="C6" s="473" t="s">
        <v>402</v>
      </c>
      <c r="D6" s="473"/>
      <c r="E6" s="473"/>
      <c r="F6" s="473"/>
      <c r="G6" s="277"/>
      <c r="H6" s="371" t="s">
        <v>401</v>
      </c>
      <c r="I6" s="372" t="s">
        <v>403</v>
      </c>
      <c r="J6" s="372" t="s">
        <v>404</v>
      </c>
      <c r="K6" s="373" t="s">
        <v>405</v>
      </c>
      <c r="L6" s="374" t="s">
        <v>406</v>
      </c>
    </row>
    <row r="7" spans="1:18" ht="15" x14ac:dyDescent="0.25">
      <c r="B7" s="473"/>
      <c r="C7" s="322" t="s">
        <v>403</v>
      </c>
      <c r="D7" s="322" t="s">
        <v>404</v>
      </c>
      <c r="E7" s="323" t="s">
        <v>405</v>
      </c>
      <c r="F7" s="324" t="s">
        <v>406</v>
      </c>
      <c r="G7" s="277"/>
      <c r="H7" s="369" t="s">
        <v>489</v>
      </c>
      <c r="I7" s="370">
        <v>1.2799999999999999E-4</v>
      </c>
      <c r="J7" s="370">
        <v>7.7299999999999995E-5</v>
      </c>
      <c r="K7" s="370">
        <v>1.5300000000000001E-4</v>
      </c>
      <c r="L7" s="370">
        <v>4.7700000000000001E-5</v>
      </c>
    </row>
    <row r="8" spans="1:18" s="9" customFormat="1" ht="15" customHeight="1" x14ac:dyDescent="0.2">
      <c r="B8" s="327" t="s">
        <v>434</v>
      </c>
      <c r="C8" s="328">
        <v>3.1860465116279067E-2</v>
      </c>
      <c r="D8" s="328">
        <v>4.6813186813186809E-2</v>
      </c>
      <c r="E8" s="328">
        <v>0.13467048710601717</v>
      </c>
      <c r="F8" s="328">
        <v>2.1764705882352943E-2</v>
      </c>
      <c r="G8" s="277"/>
      <c r="H8" s="283" t="s">
        <v>434</v>
      </c>
      <c r="I8" s="368">
        <v>5.04E-6</v>
      </c>
      <c r="J8" s="368">
        <v>3.6100000000000002E-6</v>
      </c>
      <c r="K8" s="368">
        <v>2.0699999999999998E-5</v>
      </c>
      <c r="L8" s="368">
        <v>1.04E-6</v>
      </c>
      <c r="M8"/>
      <c r="N8"/>
      <c r="O8"/>
      <c r="P8"/>
      <c r="Q8"/>
      <c r="R8"/>
    </row>
    <row r="9" spans="1:18" s="9" customFormat="1" ht="15" customHeight="1" x14ac:dyDescent="0.2">
      <c r="B9" s="327" t="s">
        <v>435</v>
      </c>
      <c r="C9" s="328">
        <v>2.4999999999999998E-2</v>
      </c>
      <c r="D9" s="328">
        <v>4.7692307692307687E-2</v>
      </c>
      <c r="E9" s="328">
        <v>3.35243553008596E-2</v>
      </c>
      <c r="F9" s="328">
        <v>2.764705882352941E-2</v>
      </c>
      <c r="G9" s="277"/>
      <c r="H9" s="283" t="s">
        <v>435</v>
      </c>
      <c r="I9" s="368">
        <v>4.07E-6</v>
      </c>
      <c r="J9" s="368">
        <v>3.6799999999999999E-6</v>
      </c>
      <c r="K9" s="368">
        <v>5.13E-6</v>
      </c>
      <c r="L9" s="368">
        <v>1.3200000000000001E-6</v>
      </c>
      <c r="M9"/>
      <c r="N9"/>
      <c r="O9"/>
      <c r="P9"/>
      <c r="Q9"/>
      <c r="R9"/>
    </row>
    <row r="10" spans="1:18" s="9" customFormat="1" ht="15" customHeight="1" x14ac:dyDescent="0.2">
      <c r="B10" s="327" t="s">
        <v>483</v>
      </c>
      <c r="C10" s="328">
        <v>3.0697674418604654E-4</v>
      </c>
      <c r="D10" s="328">
        <v>4.32967032967033E-4</v>
      </c>
      <c r="E10" s="328">
        <v>3.4670487106017194E-4</v>
      </c>
      <c r="F10" s="328">
        <v>8.9999999999999998E-4</v>
      </c>
      <c r="G10" s="277"/>
      <c r="H10" s="283" t="s">
        <v>483</v>
      </c>
      <c r="I10" s="368">
        <v>5.0600000000000003E-8</v>
      </c>
      <c r="J10" s="368">
        <v>3.3500000000000002E-8</v>
      </c>
      <c r="K10" s="368">
        <v>5.3099999999999999E-8</v>
      </c>
      <c r="L10" s="368">
        <v>4.3100000000000002E-8</v>
      </c>
      <c r="M10"/>
      <c r="N10"/>
      <c r="O10"/>
      <c r="P10"/>
      <c r="Q10"/>
      <c r="R10"/>
    </row>
    <row r="11" spans="1:18" s="9" customFormat="1" ht="15" customHeight="1" x14ac:dyDescent="0.2">
      <c r="B11" s="327" t="s">
        <v>484</v>
      </c>
      <c r="C11" s="328">
        <v>0.21976744186046512</v>
      </c>
      <c r="D11" s="328">
        <v>0.22857142857142854</v>
      </c>
      <c r="E11" s="328">
        <v>0.17994269340974212</v>
      </c>
      <c r="F11" s="328">
        <v>0.30470588235294122</v>
      </c>
      <c r="G11" s="277"/>
      <c r="H11" s="283" t="s">
        <v>484</v>
      </c>
      <c r="I11" s="368">
        <v>2.8399999999999999E-5</v>
      </c>
      <c r="J11" s="368">
        <v>1.7799999999999999E-5</v>
      </c>
      <c r="K11" s="368">
        <v>2.76E-5</v>
      </c>
      <c r="L11" s="368">
        <v>1.4600000000000001E-5</v>
      </c>
      <c r="M11"/>
      <c r="N11"/>
      <c r="O11"/>
      <c r="P11"/>
      <c r="Q11"/>
      <c r="R11"/>
    </row>
    <row r="12" spans="1:18" s="9" customFormat="1" ht="15" customHeight="1" x14ac:dyDescent="0.2">
      <c r="B12" s="327" t="s">
        <v>485</v>
      </c>
      <c r="C12" s="328">
        <v>2.7209302325581394E-4</v>
      </c>
      <c r="D12" s="328">
        <v>2.3516483516483513E-4</v>
      </c>
      <c r="E12" s="328">
        <v>1.5845272206303727E-4</v>
      </c>
      <c r="F12" s="328">
        <v>2.7529411764705885E-4</v>
      </c>
      <c r="G12" s="277"/>
      <c r="H12" s="283" t="s">
        <v>485</v>
      </c>
      <c r="I12" s="368">
        <v>3.18E-8</v>
      </c>
      <c r="J12" s="368">
        <v>1.8200000000000001E-8</v>
      </c>
      <c r="K12" s="368">
        <v>2.4299999999999999E-8</v>
      </c>
      <c r="L12" s="368">
        <v>1.3200000000000001E-8</v>
      </c>
      <c r="M12"/>
      <c r="N12"/>
      <c r="O12"/>
      <c r="P12"/>
      <c r="Q12"/>
      <c r="R12"/>
    </row>
    <row r="13" spans="1:18" s="9" customFormat="1" ht="15" customHeight="1" x14ac:dyDescent="0.2">
      <c r="B13" s="327" t="s">
        <v>436</v>
      </c>
      <c r="C13" s="328">
        <v>3.5116279069767439E-3</v>
      </c>
      <c r="D13" s="328">
        <v>4.9670329670329673E-3</v>
      </c>
      <c r="E13" s="328">
        <v>5.5873925501432661E-3</v>
      </c>
      <c r="F13" s="328">
        <v>2.988235294117647E-3</v>
      </c>
      <c r="G13" s="277"/>
      <c r="H13" s="283" t="s">
        <v>436</v>
      </c>
      <c r="I13" s="368">
        <v>6.1900000000000002E-7</v>
      </c>
      <c r="J13" s="368">
        <v>3.84E-7</v>
      </c>
      <c r="K13" s="368">
        <v>8.5899999999999995E-7</v>
      </c>
      <c r="L13" s="368">
        <v>1.43E-7</v>
      </c>
      <c r="M13"/>
      <c r="N13"/>
      <c r="O13"/>
      <c r="P13"/>
      <c r="Q13"/>
      <c r="R13"/>
    </row>
    <row r="14" spans="1:18" s="9" customFormat="1" ht="15" customHeight="1" x14ac:dyDescent="0.2">
      <c r="B14" s="327" t="s">
        <v>437</v>
      </c>
      <c r="C14" s="328">
        <v>1.7209302325581397E-3</v>
      </c>
      <c r="D14" s="328">
        <v>3.9340659340659345E-3</v>
      </c>
      <c r="E14" s="328">
        <v>1.5845272206303725E-3</v>
      </c>
      <c r="F14" s="328">
        <v>3.9529411764705888E-3</v>
      </c>
      <c r="G14" s="277"/>
      <c r="H14" s="283" t="s">
        <v>437</v>
      </c>
      <c r="I14" s="368">
        <v>3.41E-7</v>
      </c>
      <c r="J14" s="368">
        <v>3.0400000000000002E-7</v>
      </c>
      <c r="K14" s="368">
        <v>2.4299999999999999E-7</v>
      </c>
      <c r="L14" s="368">
        <v>1.8900000000000001E-7</v>
      </c>
      <c r="M14"/>
      <c r="N14"/>
      <c r="O14"/>
      <c r="P14"/>
      <c r="Q14"/>
      <c r="R14"/>
    </row>
    <row r="15" spans="1:18" s="9" customFormat="1" ht="15" customHeight="1" x14ac:dyDescent="0.2">
      <c r="B15" s="327" t="s">
        <v>438</v>
      </c>
      <c r="C15" s="328">
        <v>7.0697674418604651E-3</v>
      </c>
      <c r="D15" s="328">
        <v>7.5604395604395606E-3</v>
      </c>
      <c r="E15" s="328">
        <v>5.0716332378223494E-3</v>
      </c>
      <c r="F15" s="328">
        <v>9.0588235294117667E-3</v>
      </c>
      <c r="G15" s="277"/>
      <c r="H15" s="283" t="s">
        <v>438</v>
      </c>
      <c r="I15" s="368">
        <v>9.1100000000000004E-7</v>
      </c>
      <c r="J15" s="368">
        <v>5.8500000000000001E-7</v>
      </c>
      <c r="K15" s="368">
        <v>7.7700000000000004E-7</v>
      </c>
      <c r="L15" s="368">
        <v>4.3300000000000003E-7</v>
      </c>
      <c r="M15"/>
      <c r="N15"/>
      <c r="O15"/>
      <c r="P15"/>
      <c r="Q15"/>
      <c r="R15"/>
    </row>
    <row r="16" spans="1:18" s="9" customFormat="1" ht="15" customHeight="1" x14ac:dyDescent="0.2">
      <c r="B16" s="327" t="s">
        <v>439</v>
      </c>
      <c r="C16" s="328">
        <v>1.4186046511627907E-2</v>
      </c>
      <c r="D16" s="328">
        <v>1.5032967032967031E-2</v>
      </c>
      <c r="E16" s="328">
        <v>0.01</v>
      </c>
      <c r="F16" s="328">
        <v>1.8117647058823533E-2</v>
      </c>
      <c r="G16" s="277"/>
      <c r="H16" s="283" t="s">
        <v>439</v>
      </c>
      <c r="I16" s="368">
        <v>1.8300000000000001E-6</v>
      </c>
      <c r="J16" s="368">
        <v>1.1599999999999999E-6</v>
      </c>
      <c r="K16" s="368">
        <v>1.53E-6</v>
      </c>
      <c r="L16" s="368">
        <v>8.6700000000000002E-7</v>
      </c>
      <c r="M16"/>
      <c r="N16"/>
      <c r="O16"/>
      <c r="P16"/>
      <c r="Q16"/>
      <c r="R16"/>
    </row>
    <row r="17" spans="2:18" s="9" customFormat="1" ht="15" customHeight="1" x14ac:dyDescent="0.2">
      <c r="B17" s="334" t="s">
        <v>447</v>
      </c>
      <c r="C17" s="328">
        <v>9.1627906976744188E-3</v>
      </c>
      <c r="D17" s="328">
        <v>1.4373626373626373E-2</v>
      </c>
      <c r="E17" s="328">
        <v>1.2234957020057306E-2</v>
      </c>
      <c r="F17" s="328">
        <v>3.2529411764705883E-2</v>
      </c>
      <c r="G17" s="277"/>
      <c r="H17" s="283" t="s">
        <v>447</v>
      </c>
      <c r="I17" s="368">
        <v>1.64E-6</v>
      </c>
      <c r="J17" s="368">
        <v>1.11E-6</v>
      </c>
      <c r="K17" s="368">
        <v>1.88E-6</v>
      </c>
      <c r="L17" s="368">
        <v>1.55E-6</v>
      </c>
      <c r="M17"/>
      <c r="N17"/>
      <c r="O17"/>
      <c r="P17"/>
      <c r="Q17"/>
      <c r="R17"/>
    </row>
    <row r="18" spans="2:18" s="9" customFormat="1" ht="15" customHeight="1" x14ac:dyDescent="0.2">
      <c r="B18" s="327" t="s">
        <v>440</v>
      </c>
      <c r="C18" s="328">
        <v>1.2558139534883722E-3</v>
      </c>
      <c r="D18" s="328">
        <v>1.8131868131868133E-3</v>
      </c>
      <c r="E18" s="328">
        <v>1.5329512893982806E-3</v>
      </c>
      <c r="F18" s="328">
        <v>3.2352941176470589E-3</v>
      </c>
      <c r="G18" s="277"/>
      <c r="H18" s="283" t="s">
        <v>440</v>
      </c>
      <c r="I18" s="368">
        <v>2.04E-7</v>
      </c>
      <c r="J18" s="368">
        <v>1.4000000000000001E-7</v>
      </c>
      <c r="K18" s="368">
        <v>2.35E-7</v>
      </c>
      <c r="L18" s="368">
        <v>1.54E-7</v>
      </c>
      <c r="M18"/>
      <c r="N18"/>
      <c r="O18"/>
      <c r="P18"/>
      <c r="Q18"/>
      <c r="R18"/>
    </row>
    <row r="19" spans="2:18" s="9" customFormat="1" ht="15" customHeight="1" x14ac:dyDescent="0.2">
      <c r="B19" s="327" t="s">
        <v>441</v>
      </c>
      <c r="C19" s="328">
        <v>5.6627906976744191E-2</v>
      </c>
      <c r="D19" s="328">
        <v>4.7472527472527469E-2</v>
      </c>
      <c r="E19" s="328">
        <v>5.3581661891117474E-2</v>
      </c>
      <c r="F19" s="328">
        <v>2.8470588235294119E-2</v>
      </c>
      <c r="G19" s="277"/>
      <c r="H19" s="283" t="s">
        <v>441</v>
      </c>
      <c r="I19" s="368">
        <v>6.4699999999999999E-6</v>
      </c>
      <c r="J19" s="368">
        <v>3.67E-6</v>
      </c>
      <c r="K19" s="368">
        <v>8.2400000000000007E-6</v>
      </c>
      <c r="L19" s="368">
        <v>1.3599999999999999E-6</v>
      </c>
      <c r="M19"/>
      <c r="N19"/>
      <c r="O19"/>
      <c r="P19"/>
      <c r="Q19"/>
      <c r="R19"/>
    </row>
    <row r="20" spans="2:18" s="9" customFormat="1" ht="15" customHeight="1" x14ac:dyDescent="0.2">
      <c r="B20" s="327" t="s">
        <v>442</v>
      </c>
      <c r="C20" s="328">
        <v>1.1511627906976744E-5</v>
      </c>
      <c r="D20" s="328">
        <v>2.9010989010989013E-4</v>
      </c>
      <c r="E20" s="328">
        <v>1.5988538681948423E-4</v>
      </c>
      <c r="F20" s="328">
        <v>1.3588235294117649E-4</v>
      </c>
      <c r="G20" s="277"/>
      <c r="H20" s="283" t="s">
        <v>442</v>
      </c>
      <c r="I20" s="368">
        <v>9.4899999999999993E-9</v>
      </c>
      <c r="J20" s="368">
        <v>2.25E-8</v>
      </c>
      <c r="K20" s="368">
        <v>2.4500000000000001E-8</v>
      </c>
      <c r="L20" s="368">
        <v>6.5000000000000003E-9</v>
      </c>
      <c r="M20"/>
      <c r="N20"/>
      <c r="O20"/>
      <c r="P20"/>
      <c r="Q20"/>
      <c r="R20"/>
    </row>
    <row r="21" spans="2:18" s="9" customFormat="1" ht="15" customHeight="1" x14ac:dyDescent="0.2">
      <c r="B21" s="327" t="s">
        <v>443</v>
      </c>
      <c r="C21" s="328">
        <v>2.1860465116279069E-2</v>
      </c>
      <c r="D21" s="328">
        <v>2.3736263736263735E-2</v>
      </c>
      <c r="E21" s="328">
        <v>2.2722063037249284E-2</v>
      </c>
      <c r="F21" s="328">
        <v>2.6294117647058825E-2</v>
      </c>
      <c r="G21" s="277"/>
      <c r="H21" s="283" t="s">
        <v>443</v>
      </c>
      <c r="I21" s="368">
        <v>2.8700000000000001E-6</v>
      </c>
      <c r="J21" s="368">
        <v>1.8300000000000001E-6</v>
      </c>
      <c r="K21" s="368">
        <v>3.49E-6</v>
      </c>
      <c r="L21" s="368">
        <v>1.26E-6</v>
      </c>
      <c r="M21"/>
      <c r="N21"/>
      <c r="O21"/>
      <c r="P21"/>
      <c r="Q21"/>
      <c r="R21"/>
    </row>
    <row r="22" spans="2:18" s="9" customFormat="1" ht="15" customHeight="1" x14ac:dyDescent="0.2">
      <c r="B22" s="327" t="s">
        <v>444</v>
      </c>
      <c r="C22" s="328">
        <v>0.13837209302325582</v>
      </c>
      <c r="D22" s="328">
        <v>0.16087912087912087</v>
      </c>
      <c r="E22" s="328">
        <v>0.11862464183381088</v>
      </c>
      <c r="F22" s="328">
        <v>0.2411764705882353</v>
      </c>
      <c r="G22" s="277"/>
      <c r="H22" s="283" t="s">
        <v>444</v>
      </c>
      <c r="I22" s="368">
        <v>1.9199999999999999E-5</v>
      </c>
      <c r="J22" s="368">
        <v>1.2500000000000001E-5</v>
      </c>
      <c r="K22" s="368">
        <v>1.8199999999999999E-5</v>
      </c>
      <c r="L22" s="368">
        <v>1.15E-5</v>
      </c>
      <c r="M22"/>
      <c r="N22"/>
      <c r="O22"/>
      <c r="P22"/>
      <c r="Q22"/>
      <c r="R22"/>
    </row>
    <row r="23" spans="2:18" s="9" customFormat="1" ht="15" customHeight="1" x14ac:dyDescent="0.2">
      <c r="B23" s="327" t="s">
        <v>445</v>
      </c>
      <c r="C23" s="328">
        <v>0.39767441860465114</v>
      </c>
      <c r="D23" s="328">
        <v>0.2967032967032967</v>
      </c>
      <c r="E23" s="328">
        <v>0.25071633237822349</v>
      </c>
      <c r="F23" s="328">
        <v>0.18705882352941175</v>
      </c>
      <c r="G23" s="277"/>
      <c r="H23" s="283" t="s">
        <v>445</v>
      </c>
      <c r="I23" s="368">
        <v>4.6499999999999999E-5</v>
      </c>
      <c r="J23" s="368">
        <v>2.3E-5</v>
      </c>
      <c r="K23" s="368">
        <v>3.8500000000000001E-5</v>
      </c>
      <c r="L23" s="368">
        <v>8.9299999999999992E-6</v>
      </c>
      <c r="M23"/>
      <c r="N23"/>
      <c r="O23"/>
      <c r="P23"/>
      <c r="Q23"/>
      <c r="R23"/>
    </row>
    <row r="24" spans="2:18" x14ac:dyDescent="0.2">
      <c r="B24" s="327" t="s">
        <v>446</v>
      </c>
      <c r="C24" s="328">
        <v>5.9534883720930229E-2</v>
      </c>
      <c r="D24" s="328">
        <v>8.1758241758241756E-2</v>
      </c>
      <c r="E24" s="328">
        <v>0.15673352435530086</v>
      </c>
      <c r="F24" s="328">
        <v>7.4117647058823538E-2</v>
      </c>
      <c r="G24" s="277"/>
      <c r="H24" s="283" t="s">
        <v>446</v>
      </c>
      <c r="I24" s="368">
        <v>8.2400000000000007E-6</v>
      </c>
      <c r="J24" s="368">
        <v>6.3199999999999996E-6</v>
      </c>
      <c r="K24" s="368">
        <v>2.4000000000000001E-5</v>
      </c>
      <c r="L24" s="368">
        <v>3.5499999999999999E-6</v>
      </c>
    </row>
    <row r="25" spans="2:18" x14ac:dyDescent="0.2">
      <c r="B25" s="327" t="s">
        <v>448</v>
      </c>
      <c r="C25" s="328">
        <v>1.2790697674418604E-2</v>
      </c>
      <c r="D25" s="328">
        <v>1.6373626373626372E-2</v>
      </c>
      <c r="E25" s="328">
        <v>1.2492836676217766E-2</v>
      </c>
      <c r="F25" s="328">
        <v>1.5705882352941177E-2</v>
      </c>
      <c r="G25" s="277"/>
      <c r="H25" s="283" t="s">
        <v>448</v>
      </c>
      <c r="I25" s="368">
        <v>1.7600000000000001E-6</v>
      </c>
      <c r="J25" s="368">
        <v>1.2699999999999999E-6</v>
      </c>
      <c r="K25" s="368">
        <v>1.9199999999999998E-6</v>
      </c>
      <c r="L25" s="368">
        <v>7.5000000000000002E-7</v>
      </c>
    </row>
    <row r="26" spans="2:18" ht="30" customHeight="1" x14ac:dyDescent="0.25">
      <c r="C26" s="320"/>
      <c r="D26" s="315"/>
      <c r="E26" s="315"/>
      <c r="F26" s="316"/>
      <c r="G26" s="277"/>
      <c r="H26" s="241"/>
      <c r="I26" s="320"/>
      <c r="J26" s="315"/>
      <c r="K26" s="315"/>
      <c r="L26" s="316"/>
    </row>
    <row r="27" spans="2:18" ht="15" x14ac:dyDescent="0.25">
      <c r="B27" s="241" t="s">
        <v>490</v>
      </c>
      <c r="C27" s="320"/>
      <c r="D27" s="315"/>
      <c r="E27" s="315"/>
      <c r="F27" s="316"/>
      <c r="G27" s="277"/>
      <c r="H27" s="277"/>
      <c r="I27" s="277"/>
      <c r="J27" s="277"/>
      <c r="L27" s="277"/>
    </row>
    <row r="28" spans="2:18" ht="30" customHeight="1" x14ac:dyDescent="0.25">
      <c r="B28" s="325" t="s">
        <v>401</v>
      </c>
      <c r="C28" s="473" t="s">
        <v>402</v>
      </c>
      <c r="D28" s="473"/>
      <c r="E28" s="473"/>
      <c r="F28" s="473"/>
      <c r="G28" s="277"/>
      <c r="H28" s="366" t="s">
        <v>401</v>
      </c>
      <c r="I28" s="322" t="s">
        <v>403</v>
      </c>
      <c r="J28" s="322" t="s">
        <v>404</v>
      </c>
      <c r="K28" s="323" t="s">
        <v>405</v>
      </c>
      <c r="L28" s="324" t="s">
        <v>406</v>
      </c>
    </row>
    <row r="29" spans="2:18" ht="15" customHeight="1" x14ac:dyDescent="0.25">
      <c r="B29" s="326"/>
      <c r="C29" s="322" t="s">
        <v>403</v>
      </c>
      <c r="D29" s="322" t="s">
        <v>404</v>
      </c>
      <c r="E29" s="323" t="s">
        <v>405</v>
      </c>
      <c r="F29" s="324" t="s">
        <v>406</v>
      </c>
      <c r="G29" s="277"/>
      <c r="H29" s="376" t="s">
        <v>490</v>
      </c>
      <c r="I29" s="377">
        <v>1.25E-4</v>
      </c>
      <c r="J29" s="377">
        <v>7.4099999999999999E-5</v>
      </c>
      <c r="K29" s="377">
        <v>1.4799999999999999E-4</v>
      </c>
      <c r="L29" s="377">
        <v>4.7700000000000001E-5</v>
      </c>
    </row>
    <row r="30" spans="2:18" ht="15" customHeight="1" x14ac:dyDescent="0.2">
      <c r="B30" s="327" t="s">
        <v>434</v>
      </c>
      <c r="C30" s="328">
        <v>3.4922526817640048E-2</v>
      </c>
      <c r="D30" s="328">
        <v>5.2293577981651379E-2</v>
      </c>
      <c r="E30" s="329">
        <v>0.14925816023738872</v>
      </c>
      <c r="F30" s="328">
        <v>2.3294117647058826E-2</v>
      </c>
      <c r="G30" s="277"/>
      <c r="H30" s="362" t="s">
        <v>434</v>
      </c>
      <c r="I30" s="375">
        <v>5.3900000000000001E-6</v>
      </c>
      <c r="J30" s="375">
        <v>3.8700000000000002E-6</v>
      </c>
      <c r="K30" s="375">
        <v>2.2099999999999998E-5</v>
      </c>
      <c r="L30" s="368">
        <v>1.11E-6</v>
      </c>
    </row>
    <row r="31" spans="2:18" ht="15" customHeight="1" x14ac:dyDescent="0.2">
      <c r="B31" s="367" t="s">
        <v>483</v>
      </c>
      <c r="C31" s="328">
        <v>3.3253873659117998E-4</v>
      </c>
      <c r="D31" s="328">
        <v>4.7477064220183485E-4</v>
      </c>
      <c r="E31" s="328">
        <v>3.7685459940652814E-4</v>
      </c>
      <c r="F31" s="328">
        <v>9.5294117647058826E-4</v>
      </c>
      <c r="G31" s="277"/>
      <c r="H31" s="362" t="s">
        <v>483</v>
      </c>
      <c r="I31" s="375">
        <v>5.3400000000000002E-8</v>
      </c>
      <c r="J31" s="375">
        <v>3.5199999999999998E-8</v>
      </c>
      <c r="K31" s="375">
        <v>5.5999999999999999E-8</v>
      </c>
      <c r="L31" s="368">
        <v>4.5400000000000003E-8</v>
      </c>
    </row>
    <row r="32" spans="2:18" ht="15" customHeight="1" x14ac:dyDescent="0.2">
      <c r="B32" s="343" t="s">
        <v>484</v>
      </c>
      <c r="C32" s="329">
        <v>0.23718712753277713</v>
      </c>
      <c r="D32" s="329">
        <v>0.25229357798165136</v>
      </c>
      <c r="E32" s="329">
        <v>0.19643916913946588</v>
      </c>
      <c r="F32" s="329">
        <v>0.32117647058823534</v>
      </c>
      <c r="G32" s="277"/>
      <c r="H32" s="362" t="s">
        <v>484</v>
      </c>
      <c r="I32" s="375">
        <v>2.9899999999999998E-5</v>
      </c>
      <c r="J32" s="375">
        <v>1.8700000000000001E-5</v>
      </c>
      <c r="K32" s="375">
        <v>2.9099999999999999E-5</v>
      </c>
      <c r="L32" s="368">
        <v>1.5299999999999999E-5</v>
      </c>
    </row>
    <row r="33" spans="2:14" ht="15" customHeight="1" x14ac:dyDescent="0.2">
      <c r="B33" s="367" t="s">
        <v>485</v>
      </c>
      <c r="C33" s="328">
        <v>2.9320619785458884E-4</v>
      </c>
      <c r="D33" s="328">
        <v>2.5917431192660551E-4</v>
      </c>
      <c r="E33" s="328">
        <v>1.7270029673590502E-4</v>
      </c>
      <c r="F33" s="328">
        <v>2.9E-4</v>
      </c>
      <c r="G33" s="277"/>
      <c r="H33" s="362" t="s">
        <v>485</v>
      </c>
      <c r="I33" s="375">
        <v>3.3500000000000002E-8</v>
      </c>
      <c r="J33" s="375">
        <v>1.9099999999999999E-8</v>
      </c>
      <c r="K33" s="375">
        <v>2.5600000000000001E-8</v>
      </c>
      <c r="L33" s="368">
        <v>1.39E-8</v>
      </c>
    </row>
    <row r="34" spans="2:14" ht="15" customHeight="1" x14ac:dyDescent="0.2">
      <c r="B34" s="327" t="s">
        <v>437</v>
      </c>
      <c r="C34" s="328">
        <v>1.8474374255065555E-3</v>
      </c>
      <c r="D34" s="328">
        <v>4.3119266055045872E-3</v>
      </c>
      <c r="E34" s="328">
        <v>1.7299703264094955E-3</v>
      </c>
      <c r="F34" s="328">
        <v>4.164705882352941E-3</v>
      </c>
      <c r="G34" s="277"/>
      <c r="H34" s="362" t="s">
        <v>437</v>
      </c>
      <c r="I34" s="375">
        <v>3.5900000000000003E-7</v>
      </c>
      <c r="J34" s="375">
        <v>3.2000000000000001E-7</v>
      </c>
      <c r="K34" s="375">
        <v>2.5600000000000002E-7</v>
      </c>
      <c r="L34" s="368">
        <v>1.99E-7</v>
      </c>
    </row>
    <row r="35" spans="2:14" ht="15" customHeight="1" x14ac:dyDescent="0.2">
      <c r="B35" s="327" t="s">
        <v>438</v>
      </c>
      <c r="C35" s="328">
        <v>7.628128724672229E-3</v>
      </c>
      <c r="D35" s="328">
        <v>8.3256880733944948E-3</v>
      </c>
      <c r="E35" s="328">
        <v>5.5192878338278933E-3</v>
      </c>
      <c r="F35" s="328">
        <v>9.5294117647058835E-3</v>
      </c>
      <c r="G35" s="277"/>
      <c r="H35" s="362" t="s">
        <v>438</v>
      </c>
      <c r="I35" s="375">
        <v>9.5999999999999991E-7</v>
      </c>
      <c r="J35" s="375">
        <v>6.1699999999999998E-7</v>
      </c>
      <c r="K35" s="375">
        <v>8.1900000000000001E-7</v>
      </c>
      <c r="L35" s="368">
        <v>4.5600000000000001E-7</v>
      </c>
    </row>
    <row r="36" spans="2:14" ht="15" customHeight="1" x14ac:dyDescent="0.2">
      <c r="B36" s="327" t="s">
        <v>439</v>
      </c>
      <c r="C36" s="328">
        <v>1.537544696066746E-2</v>
      </c>
      <c r="D36" s="328">
        <v>1.6536697247706421E-2</v>
      </c>
      <c r="E36" s="328">
        <v>1.0919881305637981E-2</v>
      </c>
      <c r="F36" s="328">
        <v>1.9117647058823527E-2</v>
      </c>
      <c r="G36" s="277"/>
      <c r="H36" s="362" t="s">
        <v>439</v>
      </c>
      <c r="I36" s="375">
        <v>1.9300000000000002E-6</v>
      </c>
      <c r="J36" s="375">
        <v>1.2300000000000001E-6</v>
      </c>
      <c r="K36" s="375">
        <v>1.6199999999999999E-6</v>
      </c>
      <c r="L36" s="368">
        <v>9.1299999999999998E-7</v>
      </c>
    </row>
    <row r="37" spans="2:14" ht="15" customHeight="1" x14ac:dyDescent="0.2">
      <c r="B37" s="327" t="s">
        <v>447</v>
      </c>
      <c r="C37" s="328">
        <v>1.0071513706793801E-2</v>
      </c>
      <c r="D37" s="328">
        <v>1.6077981651376146E-2</v>
      </c>
      <c r="E37" s="328">
        <v>1.3560830860534124E-2</v>
      </c>
      <c r="F37" s="328">
        <v>3.4823529411764712E-2</v>
      </c>
      <c r="G37" s="277"/>
      <c r="H37" s="362" t="s">
        <v>447</v>
      </c>
      <c r="I37" s="375">
        <v>1.75E-6</v>
      </c>
      <c r="J37" s="375">
        <v>1.19E-6</v>
      </c>
      <c r="K37" s="375">
        <v>2.0099999999999998E-6</v>
      </c>
      <c r="L37" s="368">
        <v>1.66E-6</v>
      </c>
    </row>
    <row r="38" spans="2:14" ht="15" customHeight="1" x14ac:dyDescent="0.2">
      <c r="B38" s="327" t="s">
        <v>440</v>
      </c>
      <c r="C38" s="328">
        <v>1.3706793802145411E-3</v>
      </c>
      <c r="D38" s="328">
        <v>2.0068807339449538E-3</v>
      </c>
      <c r="E38" s="328">
        <v>1.6824925816023737E-3</v>
      </c>
      <c r="F38" s="328">
        <v>3.4294117647058826E-3</v>
      </c>
      <c r="G38" s="277"/>
      <c r="H38" s="362" t="s">
        <v>440</v>
      </c>
      <c r="I38" s="375">
        <v>2.16E-7</v>
      </c>
      <c r="J38" s="375">
        <v>1.49E-7</v>
      </c>
      <c r="K38" s="375">
        <v>2.4999999999999999E-7</v>
      </c>
      <c r="L38" s="368">
        <v>1.6400000000000001E-7</v>
      </c>
    </row>
    <row r="39" spans="2:14" ht="15" customHeight="1" x14ac:dyDescent="0.2">
      <c r="B39" s="327" t="s">
        <v>442</v>
      </c>
      <c r="C39" s="328">
        <v>1.2634088200238379E-5</v>
      </c>
      <c r="D39" s="328">
        <v>3.2339449541284406E-4</v>
      </c>
      <c r="E39" s="328">
        <v>1.7715133531157268E-4</v>
      </c>
      <c r="F39" s="328">
        <v>1.4529411764705881E-4</v>
      </c>
      <c r="G39" s="277"/>
      <c r="H39" s="362" t="s">
        <v>442</v>
      </c>
      <c r="I39" s="375">
        <v>1.0099999999999999E-8</v>
      </c>
      <c r="J39" s="375">
        <v>2.4E-8</v>
      </c>
      <c r="K39" s="375">
        <v>2.6300000000000001E-8</v>
      </c>
      <c r="L39" s="368">
        <v>6.9500000000000002E-9</v>
      </c>
    </row>
    <row r="40" spans="2:14" ht="15" customHeight="1" x14ac:dyDescent="0.2">
      <c r="B40" s="327" t="s">
        <v>443</v>
      </c>
      <c r="C40" s="328">
        <v>2.3957091775923721E-2</v>
      </c>
      <c r="D40" s="328">
        <v>2.6376146788990827E-2</v>
      </c>
      <c r="E40" s="328">
        <v>2.5103857566765576E-2</v>
      </c>
      <c r="F40" s="328">
        <v>2.8058823529411768E-2</v>
      </c>
      <c r="G40" s="277"/>
      <c r="H40" s="362" t="s">
        <v>443</v>
      </c>
      <c r="I40" s="375">
        <v>3.0599999999999999E-6</v>
      </c>
      <c r="J40" s="375">
        <v>1.95E-6</v>
      </c>
      <c r="K40" s="375">
        <v>3.72E-6</v>
      </c>
      <c r="L40" s="368">
        <v>1.3400000000000001E-6</v>
      </c>
    </row>
    <row r="41" spans="2:14" x14ac:dyDescent="0.2">
      <c r="B41" s="343" t="s">
        <v>444</v>
      </c>
      <c r="C41" s="329">
        <v>0.1525625744934446</v>
      </c>
      <c r="D41" s="329">
        <v>0.18004587155963303</v>
      </c>
      <c r="E41" s="329">
        <v>0.1317507418397626</v>
      </c>
      <c r="F41" s="329">
        <v>0.25823529411764706</v>
      </c>
      <c r="G41" s="277"/>
      <c r="H41" s="362" t="s">
        <v>444</v>
      </c>
      <c r="I41" s="375">
        <v>2.0599999999999999E-5</v>
      </c>
      <c r="J41" s="375">
        <v>1.33E-5</v>
      </c>
      <c r="K41" s="375">
        <v>1.95E-5</v>
      </c>
      <c r="L41" s="368">
        <v>1.2300000000000001E-5</v>
      </c>
    </row>
    <row r="42" spans="2:14" x14ac:dyDescent="0.2">
      <c r="B42" s="343" t="s">
        <v>445</v>
      </c>
      <c r="C42" s="329">
        <v>0.43504171632896305</v>
      </c>
      <c r="D42" s="329">
        <v>0.33256880733944949</v>
      </c>
      <c r="E42" s="329">
        <v>0.27804154302670619</v>
      </c>
      <c r="F42" s="329">
        <v>0.20000000000000004</v>
      </c>
      <c r="G42" s="277"/>
      <c r="H42" s="362" t="s">
        <v>445</v>
      </c>
      <c r="I42" s="375">
        <v>4.9799999999999998E-5</v>
      </c>
      <c r="J42" s="375">
        <v>2.4600000000000002E-5</v>
      </c>
      <c r="K42" s="375">
        <v>4.1199999999999999E-5</v>
      </c>
      <c r="L42" s="368">
        <v>9.5599999999999999E-6</v>
      </c>
    </row>
    <row r="43" spans="2:14" x14ac:dyDescent="0.2">
      <c r="B43" s="343" t="s">
        <v>446</v>
      </c>
      <c r="C43" s="329">
        <v>6.5077473182359957E-2</v>
      </c>
      <c r="D43" s="329">
        <v>9.0825688073394487E-2</v>
      </c>
      <c r="E43" s="329">
        <v>0.17270029673590506</v>
      </c>
      <c r="F43" s="329">
        <v>7.9411764705882362E-2</v>
      </c>
      <c r="G43" s="277"/>
      <c r="H43" s="362" t="s">
        <v>446</v>
      </c>
      <c r="I43" s="375">
        <v>8.7700000000000007E-6</v>
      </c>
      <c r="J43" s="375">
        <v>6.7299999999999999E-6</v>
      </c>
      <c r="K43" s="375">
        <v>2.5599999999999999E-5</v>
      </c>
      <c r="L43" s="368">
        <v>3.7799999999999998E-6</v>
      </c>
    </row>
    <row r="44" spans="2:14" x14ac:dyDescent="0.2">
      <c r="B44" s="327" t="s">
        <v>448</v>
      </c>
      <c r="C44" s="328">
        <v>1.3945172824791418E-2</v>
      </c>
      <c r="D44" s="328">
        <v>1.8142201834862384E-2</v>
      </c>
      <c r="E44" s="328">
        <v>1.373887240356083E-2</v>
      </c>
      <c r="F44" s="328">
        <v>1.6647058823529414E-2</v>
      </c>
      <c r="G44" s="277"/>
      <c r="H44" t="s">
        <v>448</v>
      </c>
      <c r="I44" s="368">
        <v>1.8700000000000001E-6</v>
      </c>
      <c r="J44" s="368">
        <v>1.3400000000000001E-6</v>
      </c>
      <c r="K44" s="368">
        <v>2.04E-6</v>
      </c>
      <c r="L44" s="368">
        <v>7.9500000000000001E-7</v>
      </c>
    </row>
    <row r="45" spans="2:14" x14ac:dyDescent="0.2">
      <c r="B45" s="330"/>
      <c r="C45" s="331"/>
      <c r="D45" s="332"/>
      <c r="E45" s="332"/>
      <c r="F45" s="333"/>
      <c r="G45" s="277"/>
      <c r="H45" s="283"/>
    </row>
    <row r="46" spans="2:14" x14ac:dyDescent="0.2">
      <c r="J46" s="283"/>
      <c r="K46" s="283"/>
      <c r="M46" s="283"/>
      <c r="N46" s="283"/>
    </row>
    <row r="47" spans="2:14" x14ac:dyDescent="0.2">
      <c r="I47" s="285"/>
      <c r="J47" s="285"/>
      <c r="K47" s="285"/>
      <c r="L47" s="285"/>
      <c r="M47" s="285"/>
      <c r="N47" s="285"/>
    </row>
    <row r="48" spans="2:14" x14ac:dyDescent="0.2">
      <c r="I48" s="285"/>
      <c r="J48" s="285"/>
      <c r="K48" s="285"/>
      <c r="L48" s="285"/>
      <c r="M48" s="285"/>
      <c r="N48" s="285"/>
    </row>
    <row r="49" spans="9:14" x14ac:dyDescent="0.2">
      <c r="I49" s="285"/>
      <c r="J49" s="285"/>
      <c r="K49" s="285"/>
      <c r="L49" s="285"/>
      <c r="M49" s="285"/>
      <c r="N49" s="285"/>
    </row>
    <row r="50" spans="9:14" x14ac:dyDescent="0.2">
      <c r="I50" s="285"/>
      <c r="J50" s="285"/>
      <c r="K50" s="285"/>
      <c r="L50" s="285"/>
      <c r="M50" s="285"/>
      <c r="N50" s="285"/>
    </row>
    <row r="51" spans="9:14" x14ac:dyDescent="0.2">
      <c r="I51" s="285"/>
      <c r="J51" s="285"/>
      <c r="K51" s="285"/>
      <c r="L51" s="285"/>
      <c r="M51" s="285"/>
      <c r="N51" s="285"/>
    </row>
    <row r="52" spans="9:14" x14ac:dyDescent="0.2">
      <c r="I52" s="285"/>
      <c r="J52" s="285"/>
      <c r="K52" s="285"/>
      <c r="L52" s="285"/>
      <c r="M52" s="285"/>
      <c r="N52" s="285"/>
    </row>
    <row r="53" spans="9:14" x14ac:dyDescent="0.2">
      <c r="I53" s="285"/>
      <c r="J53" s="285"/>
      <c r="K53" s="285"/>
      <c r="L53" s="285"/>
      <c r="M53" s="285"/>
      <c r="N53" s="285"/>
    </row>
    <row r="54" spans="9:14" x14ac:dyDescent="0.2">
      <c r="I54" s="285"/>
      <c r="J54" s="285"/>
      <c r="K54" s="285"/>
      <c r="L54" s="285"/>
      <c r="M54" s="285"/>
      <c r="N54" s="285"/>
    </row>
    <row r="55" spans="9:14" x14ac:dyDescent="0.2">
      <c r="I55" s="285"/>
      <c r="J55" s="285"/>
      <c r="K55" s="285"/>
      <c r="L55" s="285"/>
      <c r="M55" s="285"/>
      <c r="N55" s="285"/>
    </row>
    <row r="56" spans="9:14" x14ac:dyDescent="0.2">
      <c r="I56" s="285"/>
      <c r="J56" s="285"/>
      <c r="K56" s="285"/>
      <c r="L56" s="285"/>
      <c r="M56" s="285"/>
      <c r="N56" s="285"/>
    </row>
    <row r="57" spans="9:14" x14ac:dyDescent="0.2">
      <c r="I57" s="285"/>
      <c r="J57" s="285"/>
      <c r="K57" s="285"/>
      <c r="L57" s="285"/>
      <c r="M57" s="285"/>
      <c r="N57" s="285"/>
    </row>
    <row r="58" spans="9:14" x14ac:dyDescent="0.2">
      <c r="I58" s="285"/>
      <c r="J58" s="285"/>
      <c r="K58" s="285"/>
      <c r="L58" s="285"/>
      <c r="M58" s="285"/>
      <c r="N58" s="285"/>
    </row>
    <row r="59" spans="9:14" x14ac:dyDescent="0.2">
      <c r="I59" s="285"/>
      <c r="J59" s="285"/>
      <c r="K59" s="285"/>
      <c r="L59" s="285"/>
      <c r="M59" s="285"/>
      <c r="N59" s="285"/>
    </row>
    <row r="60" spans="9:14" x14ac:dyDescent="0.2">
      <c r="I60" s="285"/>
      <c r="J60" s="285"/>
      <c r="K60" s="285"/>
      <c r="L60" s="285"/>
      <c r="M60" s="285"/>
      <c r="N60" s="285"/>
    </row>
    <row r="61" spans="9:14" x14ac:dyDescent="0.2">
      <c r="I61" s="285"/>
      <c r="J61" s="285"/>
      <c r="K61" s="285"/>
      <c r="L61" s="285"/>
      <c r="M61" s="285"/>
      <c r="N61" s="285"/>
    </row>
    <row r="62" spans="9:14" x14ac:dyDescent="0.2">
      <c r="I62" s="285"/>
      <c r="J62" s="285"/>
      <c r="K62" s="285"/>
      <c r="L62" s="285"/>
      <c r="M62" s="285"/>
      <c r="N62" s="285"/>
    </row>
    <row r="63" spans="9:14" x14ac:dyDescent="0.2">
      <c r="I63" s="285"/>
      <c r="J63" s="285"/>
      <c r="K63" s="285"/>
      <c r="L63" s="285"/>
      <c r="M63" s="285"/>
      <c r="N63" s="285"/>
    </row>
    <row r="64" spans="9:14" x14ac:dyDescent="0.2">
      <c r="I64" s="285"/>
      <c r="J64" s="285"/>
      <c r="K64" s="285"/>
      <c r="L64" s="285"/>
      <c r="M64" s="285"/>
      <c r="N64" s="285"/>
    </row>
    <row r="65" spans="9:13" x14ac:dyDescent="0.2">
      <c r="I65" s="285"/>
      <c r="J65" s="285"/>
      <c r="K65" s="285"/>
      <c r="L65" s="285"/>
      <c r="M65" s="285"/>
    </row>
    <row r="66" spans="9:13" x14ac:dyDescent="0.2">
      <c r="I66" s="285"/>
      <c r="J66" s="285"/>
      <c r="K66" s="285"/>
      <c r="L66" s="285"/>
      <c r="M66" s="285"/>
    </row>
  </sheetData>
  <mergeCells count="3">
    <mergeCell ref="C6:F6"/>
    <mergeCell ref="C28:F28"/>
    <mergeCell ref="B6:B7"/>
  </mergeCells>
  <pageMargins left="0.7" right="0.7" top="0.78740157499999996" bottom="0.78740157499999996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24"/>
  <sheetViews>
    <sheetView topLeftCell="A16" workbookViewId="0">
      <selection activeCell="I13" sqref="I13"/>
    </sheetView>
  </sheetViews>
  <sheetFormatPr defaultColWidth="11" defaultRowHeight="14.25" x14ac:dyDescent="0.2"/>
  <cols>
    <col min="1" max="1" width="5.75" style="2" customWidth="1"/>
    <col min="2" max="2" width="35.75" customWidth="1"/>
    <col min="3" max="7" width="11.625" style="189"/>
    <col min="8" max="8" width="5.75" customWidth="1"/>
    <col min="9" max="9" width="39.125" style="287" customWidth="1"/>
    <col min="10" max="14" width="11.625" style="239"/>
    <col min="15" max="15" width="11.625" style="63"/>
  </cols>
  <sheetData>
    <row r="1" spans="1:15" x14ac:dyDescent="0.2">
      <c r="B1" s="266"/>
      <c r="C1" s="272"/>
      <c r="D1" s="272"/>
      <c r="E1" s="272"/>
      <c r="F1" s="272"/>
      <c r="G1" s="272"/>
    </row>
    <row r="2" spans="1:15" ht="18" x14ac:dyDescent="0.25">
      <c r="B2" s="267" t="s">
        <v>458</v>
      </c>
      <c r="C2" s="272"/>
      <c r="D2" s="272"/>
      <c r="E2" s="272"/>
      <c r="F2" s="272"/>
      <c r="G2" s="272"/>
    </row>
    <row r="3" spans="1:15" ht="15" x14ac:dyDescent="0.2">
      <c r="B3" s="361" t="s">
        <v>468</v>
      </c>
      <c r="C3" s="272"/>
      <c r="D3" s="272"/>
      <c r="E3" s="272"/>
      <c r="F3" s="272"/>
      <c r="G3" s="272"/>
    </row>
    <row r="4" spans="1:15" s="2" customFormat="1" ht="19.7" customHeight="1" x14ac:dyDescent="0.2">
      <c r="C4" s="276"/>
      <c r="D4" s="276"/>
      <c r="E4" s="276"/>
      <c r="F4" s="276"/>
      <c r="G4" s="276"/>
      <c r="I4" s="288"/>
      <c r="J4" s="289"/>
      <c r="K4" s="289"/>
      <c r="L4" s="289"/>
      <c r="M4" s="289"/>
      <c r="N4" s="289"/>
      <c r="O4" s="65"/>
    </row>
    <row r="5" spans="1:15" s="63" customFormat="1" ht="19.7" customHeight="1" x14ac:dyDescent="0.2">
      <c r="A5" s="65"/>
      <c r="B5" s="335" t="s">
        <v>430</v>
      </c>
      <c r="C5" s="273"/>
      <c r="D5" s="273"/>
      <c r="E5" s="273"/>
      <c r="F5" s="273"/>
      <c r="G5" s="273"/>
      <c r="H5" s="65"/>
      <c r="I5" s="268" t="s">
        <v>431</v>
      </c>
      <c r="J5" s="275"/>
      <c r="K5" s="275"/>
      <c r="L5" s="275"/>
      <c r="M5" s="275"/>
      <c r="N5" s="275"/>
    </row>
    <row r="6" spans="1:15" s="63" customFormat="1" ht="45.6" customHeight="1" x14ac:dyDescent="0.2">
      <c r="A6" s="65"/>
      <c r="B6" s="269" t="s">
        <v>401</v>
      </c>
      <c r="C6" s="269" t="s">
        <v>429</v>
      </c>
      <c r="D6" s="269" t="s">
        <v>428</v>
      </c>
      <c r="E6" s="269" t="s">
        <v>427</v>
      </c>
      <c r="F6" s="269" t="s">
        <v>316</v>
      </c>
      <c r="G6" s="269" t="s">
        <v>426</v>
      </c>
      <c r="H6" s="45"/>
      <c r="I6" s="270" t="s">
        <v>401</v>
      </c>
      <c r="J6" s="270" t="s">
        <v>429</v>
      </c>
      <c r="K6" s="270" t="s">
        <v>428</v>
      </c>
      <c r="L6" s="270" t="s">
        <v>427</v>
      </c>
      <c r="M6" s="270" t="s">
        <v>316</v>
      </c>
      <c r="N6" s="270" t="s">
        <v>426</v>
      </c>
    </row>
    <row r="7" spans="1:15" s="63" customFormat="1" ht="20.100000000000001" customHeight="1" x14ac:dyDescent="0.2">
      <c r="A7" s="65"/>
      <c r="B7" s="271" t="s">
        <v>411</v>
      </c>
      <c r="C7" s="344">
        <v>0.82362776991399511</v>
      </c>
      <c r="D7" s="360">
        <v>8.1397049287982762E-2</v>
      </c>
      <c r="E7" s="360">
        <v>4.7182696366932381E-4</v>
      </c>
      <c r="F7" s="360">
        <v>6.7738900339660235E-2</v>
      </c>
      <c r="G7" s="345">
        <v>2.6764453494692635E-2</v>
      </c>
      <c r="H7" s="45"/>
      <c r="I7" s="271" t="s">
        <v>486</v>
      </c>
      <c r="J7" s="344">
        <v>0.67783559704270269</v>
      </c>
      <c r="K7" s="360">
        <v>2.34459957523519E-2</v>
      </c>
      <c r="L7" s="360">
        <v>1.2407219542100615E-4</v>
      </c>
      <c r="M7" s="360">
        <v>1.3958121984863191E-2</v>
      </c>
      <c r="N7" s="344">
        <v>0.28463621302466119</v>
      </c>
    </row>
    <row r="8" spans="1:15" s="63" customFormat="1" ht="20.100000000000001" customHeight="1" x14ac:dyDescent="0.2">
      <c r="A8" s="65"/>
      <c r="B8" s="271" t="s">
        <v>422</v>
      </c>
      <c r="C8" s="344">
        <v>0.77436227486795994</v>
      </c>
      <c r="D8" s="344">
        <v>0.10624495591855916</v>
      </c>
      <c r="E8" s="360">
        <v>4.8014547386271921E-4</v>
      </c>
      <c r="F8" s="360">
        <v>8.6630502518209765E-2</v>
      </c>
      <c r="G8" s="345">
        <v>3.2282121221408361E-2</v>
      </c>
      <c r="H8" s="45"/>
      <c r="I8" s="271" t="s">
        <v>411</v>
      </c>
      <c r="J8" s="344">
        <v>0.62708728766728339</v>
      </c>
      <c r="K8" s="360">
        <v>2.8351072775762234E-2</v>
      </c>
      <c r="L8" s="378">
        <v>5.0455299007712458E-4</v>
      </c>
      <c r="M8" s="360">
        <v>0.12181350760433435</v>
      </c>
      <c r="N8" s="344">
        <v>0.22224357896254293</v>
      </c>
    </row>
    <row r="9" spans="1:15" s="63" customFormat="1" ht="20.100000000000001" customHeight="1" x14ac:dyDescent="0.2">
      <c r="A9" s="65"/>
      <c r="B9" s="271" t="s">
        <v>423</v>
      </c>
      <c r="C9" s="344">
        <v>0.87094813390342729</v>
      </c>
      <c r="D9" s="360">
        <v>-4.8535809319695646E-3</v>
      </c>
      <c r="E9" s="360">
        <v>5.4198320406993466E-7</v>
      </c>
      <c r="F9" s="360">
        <v>4.3142941617507237E-4</v>
      </c>
      <c r="G9" s="345">
        <v>0.13347347562916301</v>
      </c>
      <c r="H9" s="45"/>
      <c r="I9" s="271" t="s">
        <v>422</v>
      </c>
      <c r="J9" s="344">
        <v>0.59104991637084769</v>
      </c>
      <c r="K9" s="360">
        <v>4.0579546497102971E-2</v>
      </c>
      <c r="L9" s="378">
        <v>5.0812649526807202E-4</v>
      </c>
      <c r="M9" s="344">
        <v>0.15437870949984828</v>
      </c>
      <c r="N9" s="344">
        <v>0.21348370113693302</v>
      </c>
    </row>
    <row r="10" spans="1:15" s="63" customFormat="1" ht="20.100000000000001" customHeight="1" x14ac:dyDescent="0.2">
      <c r="A10" s="65"/>
      <c r="B10" s="271" t="s">
        <v>424</v>
      </c>
      <c r="C10" s="344">
        <v>0.78817585406214874</v>
      </c>
      <c r="D10" s="360">
        <v>3.5010089189548746E-2</v>
      </c>
      <c r="E10" s="360">
        <v>1.4776053027178778E-4</v>
      </c>
      <c r="F10" s="360">
        <v>2.7110376757035183E-2</v>
      </c>
      <c r="G10" s="344">
        <v>0.14955591946099542</v>
      </c>
      <c r="H10" s="45"/>
      <c r="I10" s="271" t="s">
        <v>423</v>
      </c>
      <c r="J10" s="344">
        <v>0.66789409747731177</v>
      </c>
      <c r="K10" s="360">
        <v>1.9581440585130276E-2</v>
      </c>
      <c r="L10" s="378">
        <v>6.2235586355840419E-7</v>
      </c>
      <c r="M10" s="360">
        <v>8.3992742561540725E-4</v>
      </c>
      <c r="N10" s="344">
        <v>0.31168391215607882</v>
      </c>
    </row>
    <row r="11" spans="1:15" s="63" customFormat="1" ht="20.100000000000001" customHeight="1" x14ac:dyDescent="0.2">
      <c r="A11" s="65"/>
      <c r="B11" s="45"/>
      <c r="C11" s="46"/>
      <c r="D11" s="46"/>
      <c r="E11" s="46"/>
      <c r="F11" s="46"/>
      <c r="G11" s="46"/>
      <c r="H11" s="45"/>
      <c r="I11" s="271" t="s">
        <v>424</v>
      </c>
      <c r="J11" s="344">
        <v>0.6972251322300701</v>
      </c>
      <c r="K11" s="360">
        <v>1.8533832628900598E-2</v>
      </c>
      <c r="L11" s="378">
        <v>5.5601497886701795E-5</v>
      </c>
      <c r="M11" s="360">
        <v>1.7209987441121986E-2</v>
      </c>
      <c r="N11" s="344">
        <v>0.26697544620202057</v>
      </c>
    </row>
    <row r="12" spans="1:15" s="63" customFormat="1" ht="20.100000000000001" customHeight="1" x14ac:dyDescent="0.2">
      <c r="A12" s="65"/>
      <c r="B12" s="268" t="s">
        <v>432</v>
      </c>
      <c r="C12" s="274"/>
      <c r="D12" s="274"/>
      <c r="E12" s="274"/>
      <c r="F12" s="274"/>
      <c r="G12" s="274"/>
      <c r="H12" s="45"/>
      <c r="I12" s="252"/>
      <c r="J12" s="46"/>
      <c r="K12" s="46"/>
      <c r="L12" s="46"/>
      <c r="M12" s="46"/>
      <c r="N12" s="46"/>
    </row>
    <row r="13" spans="1:15" s="63" customFormat="1" ht="45.6" customHeight="1" x14ac:dyDescent="0.2">
      <c r="A13" s="65"/>
      <c r="B13" s="270" t="s">
        <v>401</v>
      </c>
      <c r="C13" s="270" t="s">
        <v>429</v>
      </c>
      <c r="D13" s="270" t="s">
        <v>428</v>
      </c>
      <c r="E13" s="270" t="s">
        <v>427</v>
      </c>
      <c r="F13" s="270" t="s">
        <v>316</v>
      </c>
      <c r="G13" s="270" t="s">
        <v>426</v>
      </c>
      <c r="H13" s="45"/>
    </row>
    <row r="14" spans="1:15" s="63" customFormat="1" ht="20.100000000000001" customHeight="1" x14ac:dyDescent="0.2">
      <c r="A14" s="65"/>
      <c r="B14" s="271" t="s">
        <v>411</v>
      </c>
      <c r="C14" s="344">
        <v>0.653356299797205</v>
      </c>
      <c r="D14" s="344">
        <v>0.14594452411054451</v>
      </c>
      <c r="E14" s="360">
        <v>4.4971277778249179E-4</v>
      </c>
      <c r="F14" s="360">
        <v>0.10839774973908176</v>
      </c>
      <c r="G14" s="345">
        <v>9.1851713575386296E-2</v>
      </c>
      <c r="H14" s="45"/>
    </row>
    <row r="15" spans="1:15" s="63" customFormat="1" ht="20.100000000000001" customHeight="1" x14ac:dyDescent="0.2">
      <c r="A15" s="65"/>
      <c r="B15" s="271" t="s">
        <v>422</v>
      </c>
      <c r="C15" s="344">
        <v>0.60363786793416552</v>
      </c>
      <c r="D15" s="344">
        <v>0.17588515965447715</v>
      </c>
      <c r="E15" s="360">
        <v>4.0946065167562275E-4</v>
      </c>
      <c r="F15" s="344">
        <v>0.12424527677992266</v>
      </c>
      <c r="G15" s="345">
        <v>9.5822234979759141E-2</v>
      </c>
      <c r="H15" s="45"/>
    </row>
    <row r="16" spans="1:15" s="63" customFormat="1" ht="20.100000000000001" customHeight="1" x14ac:dyDescent="0.2">
      <c r="A16" s="65"/>
      <c r="B16" s="271" t="s">
        <v>423</v>
      </c>
      <c r="C16" s="344">
        <v>0.81326903539324991</v>
      </c>
      <c r="D16" s="360">
        <v>7.889923477695706E-3</v>
      </c>
      <c r="E16" s="360">
        <v>7.525773163340521E-7</v>
      </c>
      <c r="F16" s="360">
        <v>1.0135517082886024E-3</v>
      </c>
      <c r="G16" s="345">
        <v>0.17782673684344941</v>
      </c>
      <c r="H16" s="45"/>
    </row>
    <row r="17" spans="1:14" s="63" customFormat="1" ht="20.100000000000001" customHeight="1" x14ac:dyDescent="0.2">
      <c r="A17" s="65"/>
      <c r="B17" s="271" t="s">
        <v>424</v>
      </c>
      <c r="C17" s="344">
        <v>0.68668507392626033</v>
      </c>
      <c r="D17" s="360">
        <v>5.1450135389698906E-2</v>
      </c>
      <c r="E17" s="360">
        <v>1.0454011573205754E-4</v>
      </c>
      <c r="F17" s="360">
        <v>3.2181957195947124E-2</v>
      </c>
      <c r="G17" s="344">
        <v>0.22957829337236166</v>
      </c>
      <c r="H17" s="45"/>
    </row>
    <row r="18" spans="1:14" ht="19.7" customHeight="1" x14ac:dyDescent="0.2"/>
    <row r="19" spans="1:14" ht="19.7" customHeight="1" x14ac:dyDescent="0.2">
      <c r="B19" s="268" t="s">
        <v>433</v>
      </c>
      <c r="C19" s="274"/>
      <c r="D19" s="274"/>
      <c r="E19" s="274"/>
      <c r="F19" s="274"/>
      <c r="G19" s="274"/>
      <c r="H19" s="321"/>
    </row>
    <row r="20" spans="1:14" ht="45.6" customHeight="1" x14ac:dyDescent="0.2">
      <c r="B20" s="270" t="s">
        <v>401</v>
      </c>
      <c r="C20" s="270" t="s">
        <v>429</v>
      </c>
      <c r="D20" s="270" t="s">
        <v>428</v>
      </c>
      <c r="E20" s="270" t="s">
        <v>427</v>
      </c>
      <c r="F20" s="270" t="s">
        <v>316</v>
      </c>
      <c r="G20" s="270" t="s">
        <v>426</v>
      </c>
      <c r="I20" s="320"/>
      <c r="J20" s="319"/>
      <c r="K20" s="315"/>
      <c r="L20" s="284"/>
      <c r="M20" s="285"/>
      <c r="N20" s="285"/>
    </row>
    <row r="21" spans="1:14" ht="19.7" customHeight="1" x14ac:dyDescent="0.2">
      <c r="B21" s="271" t="s">
        <v>411</v>
      </c>
      <c r="C21" s="344">
        <v>0.45095465489889752</v>
      </c>
      <c r="D21" s="344">
        <v>0.26292266932944652</v>
      </c>
      <c r="E21" s="360">
        <v>6.5227369726447682E-4</v>
      </c>
      <c r="F21" s="344">
        <v>0.16910799558708658</v>
      </c>
      <c r="G21" s="345">
        <v>0.11636240648730482</v>
      </c>
    </row>
    <row r="22" spans="1:14" ht="19.7" customHeight="1" x14ac:dyDescent="0.2">
      <c r="B22" s="271" t="s">
        <v>422</v>
      </c>
      <c r="C22" s="344">
        <v>0.42893660911973774</v>
      </c>
      <c r="D22" s="344">
        <v>0.29009007668791514</v>
      </c>
      <c r="E22" s="360">
        <v>5.5290672736243648E-4</v>
      </c>
      <c r="F22" s="344">
        <v>0.17950873121542782</v>
      </c>
      <c r="G22" s="345">
        <v>0.10091167624955681</v>
      </c>
    </row>
    <row r="23" spans="1:14" ht="19.7" customHeight="1" x14ac:dyDescent="0.2">
      <c r="B23" s="271" t="s">
        <v>423</v>
      </c>
      <c r="C23" s="344">
        <v>0.65025584434537342</v>
      </c>
      <c r="D23" s="360">
        <v>5.4686267369275657E-3</v>
      </c>
      <c r="E23" s="360">
        <v>1.1846615095257664E-6</v>
      </c>
      <c r="F23" s="360">
        <v>1.706610166193796E-3</v>
      </c>
      <c r="G23" s="344">
        <v>0.34256773408999558</v>
      </c>
    </row>
    <row r="24" spans="1:14" ht="19.7" customHeight="1" x14ac:dyDescent="0.2">
      <c r="B24" s="271" t="s">
        <v>424</v>
      </c>
      <c r="C24" s="344">
        <v>0.65855447293191449</v>
      </c>
      <c r="D24" s="360">
        <v>0.13270870439385551</v>
      </c>
      <c r="E24" s="360">
        <v>1.9457291245715655E-4</v>
      </c>
      <c r="F24" s="360">
        <v>6.4358732581982547E-2</v>
      </c>
      <c r="G24" s="344">
        <v>0.40960092596750131</v>
      </c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M69"/>
  <sheetViews>
    <sheetView topLeftCell="A73" zoomScale="55" zoomScaleNormal="55" workbookViewId="0"/>
  </sheetViews>
  <sheetFormatPr defaultColWidth="11" defaultRowHeight="14.25" x14ac:dyDescent="0.2"/>
  <cols>
    <col min="1" max="1" width="5.75" customWidth="1"/>
    <col min="2" max="2" width="32.75" style="63" customWidth="1"/>
    <col min="3" max="3" width="20.75" style="63" customWidth="1"/>
    <col min="4" max="4" width="5.75" style="63" customWidth="1"/>
    <col min="5" max="5" width="20.75" style="63" customWidth="1"/>
    <col min="6" max="6" width="5.75" style="63" customWidth="1"/>
    <col min="7" max="7" width="16.75" style="63" customWidth="1"/>
    <col min="8" max="8" width="5.75" style="63" customWidth="1"/>
    <col min="9" max="9" width="22.625" style="63" customWidth="1"/>
    <col min="10" max="13" width="5.75" style="63" customWidth="1"/>
    <col min="14" max="14" width="12.25" customWidth="1"/>
    <col min="15" max="15" width="7.375" customWidth="1"/>
    <col min="16" max="16" width="8.125" customWidth="1"/>
    <col min="17" max="17" width="7" customWidth="1"/>
  </cols>
  <sheetData>
    <row r="1" spans="1:13" x14ac:dyDescent="0.2">
      <c r="A1" s="2"/>
      <c r="B1" s="312"/>
      <c r="C1" s="312"/>
      <c r="D1" s="312"/>
      <c r="E1" s="312"/>
      <c r="F1" s="312"/>
      <c r="G1" s="312"/>
    </row>
    <row r="2" spans="1:13" ht="18" x14ac:dyDescent="0.25">
      <c r="B2" s="267" t="s">
        <v>502</v>
      </c>
      <c r="C2" s="313"/>
      <c r="D2" s="313"/>
      <c r="E2" s="313"/>
      <c r="F2" s="313"/>
      <c r="G2" s="313"/>
      <c r="H2" s="290"/>
    </row>
    <row r="3" spans="1:13" ht="15" x14ac:dyDescent="0.2">
      <c r="B3" s="314" t="s">
        <v>399</v>
      </c>
      <c r="C3" s="312"/>
      <c r="D3" s="312"/>
      <c r="E3" s="312"/>
      <c r="F3" s="312"/>
      <c r="G3" s="312"/>
    </row>
    <row r="4" spans="1:13" x14ac:dyDescent="0.2">
      <c r="C4" s="65"/>
    </row>
    <row r="5" spans="1:13" ht="30.6" customHeight="1" x14ac:dyDescent="0.2">
      <c r="B5" s="291" t="s">
        <v>487</v>
      </c>
      <c r="C5" s="474" t="s">
        <v>452</v>
      </c>
      <c r="D5" s="475"/>
      <c r="E5" s="475"/>
      <c r="F5"/>
      <c r="G5"/>
      <c r="H5"/>
    </row>
    <row r="6" spans="1:13" ht="31.9" customHeight="1" x14ac:dyDescent="0.2">
      <c r="B6" s="292" t="s">
        <v>449</v>
      </c>
      <c r="C6" s="476" t="s">
        <v>405</v>
      </c>
      <c r="D6" s="477"/>
      <c r="E6" s="478"/>
      <c r="F6"/>
      <c r="G6"/>
      <c r="H6"/>
    </row>
    <row r="7" spans="1:13" ht="30.2" customHeight="1" x14ac:dyDescent="0.2">
      <c r="B7" s="484" t="s">
        <v>454</v>
      </c>
      <c r="C7" s="379" t="s">
        <v>457</v>
      </c>
      <c r="D7" s="381">
        <v>0.53900000000000003</v>
      </c>
      <c r="E7" s="479"/>
      <c r="F7"/>
      <c r="G7"/>
      <c r="H7"/>
    </row>
    <row r="8" spans="1:13" ht="30.2" customHeight="1" x14ac:dyDescent="0.2">
      <c r="B8" s="485"/>
      <c r="C8" s="398" t="s">
        <v>456</v>
      </c>
      <c r="D8" s="381">
        <v>0.08</v>
      </c>
      <c r="E8" s="479"/>
      <c r="F8"/>
      <c r="G8"/>
      <c r="H8"/>
    </row>
    <row r="9" spans="1:13" ht="30.2" customHeight="1" x14ac:dyDescent="0.2">
      <c r="B9" s="293" t="s">
        <v>428</v>
      </c>
      <c r="C9" s="298"/>
      <c r="D9" s="299"/>
      <c r="E9" s="479"/>
      <c r="F9"/>
      <c r="G9"/>
      <c r="H9"/>
    </row>
    <row r="10" spans="1:13" ht="30.2" customHeight="1" x14ac:dyDescent="0.2">
      <c r="B10" s="293" t="s">
        <v>451</v>
      </c>
      <c r="C10" s="298"/>
      <c r="D10" s="299"/>
      <c r="E10" s="479"/>
      <c r="F10"/>
      <c r="G10"/>
      <c r="H10"/>
    </row>
    <row r="11" spans="1:13" ht="30.2" customHeight="1" x14ac:dyDescent="0.2">
      <c r="B11" s="293" t="s">
        <v>316</v>
      </c>
      <c r="C11" s="298"/>
      <c r="D11" s="299"/>
      <c r="E11" s="479"/>
      <c r="F11"/>
      <c r="G11"/>
      <c r="H11"/>
      <c r="I11"/>
      <c r="J11"/>
      <c r="K11"/>
      <c r="L11"/>
      <c r="M11"/>
    </row>
    <row r="12" spans="1:13" ht="30.2" customHeight="1" x14ac:dyDescent="0.2">
      <c r="B12" s="300" t="s">
        <v>450</v>
      </c>
      <c r="C12" s="401" t="s">
        <v>457</v>
      </c>
      <c r="D12" s="402">
        <v>0.23499999999999999</v>
      </c>
      <c r="E12" s="480"/>
      <c r="F12"/>
      <c r="G12"/>
      <c r="H12"/>
      <c r="I12"/>
      <c r="J12"/>
      <c r="K12"/>
      <c r="L12"/>
      <c r="M12"/>
    </row>
    <row r="13" spans="1:13" x14ac:dyDescent="0.2">
      <c r="G13" s="65"/>
    </row>
    <row r="14" spans="1:13" ht="30.6" customHeight="1" x14ac:dyDescent="0.2">
      <c r="B14" s="291" t="s">
        <v>484</v>
      </c>
      <c r="C14" s="475" t="s">
        <v>452</v>
      </c>
      <c r="D14" s="475"/>
      <c r="E14" s="475"/>
      <c r="F14" s="475"/>
      <c r="G14" s="475"/>
      <c r="H14" s="475"/>
      <c r="I14" s="475"/>
      <c r="J14" s="475"/>
    </row>
    <row r="15" spans="1:13" ht="31.9" customHeight="1" x14ac:dyDescent="0.2">
      <c r="B15" s="292" t="s">
        <v>449</v>
      </c>
      <c r="C15" s="476" t="s">
        <v>403</v>
      </c>
      <c r="D15" s="483"/>
      <c r="E15" s="476" t="s">
        <v>404</v>
      </c>
      <c r="F15" s="477"/>
      <c r="G15" s="476" t="s">
        <v>405</v>
      </c>
      <c r="H15" s="483"/>
      <c r="I15" s="476" t="s">
        <v>406</v>
      </c>
      <c r="J15" s="483"/>
    </row>
    <row r="16" spans="1:13" ht="30.2" customHeight="1" x14ac:dyDescent="0.2">
      <c r="B16" s="484" t="s">
        <v>454</v>
      </c>
      <c r="C16" s="486" t="s">
        <v>456</v>
      </c>
      <c r="D16" s="481">
        <v>0.48199999999999998</v>
      </c>
      <c r="E16" s="294" t="s">
        <v>456</v>
      </c>
      <c r="F16" s="295">
        <v>0.37</v>
      </c>
      <c r="G16" s="488" t="s">
        <v>456</v>
      </c>
      <c r="H16" s="481">
        <v>0.40600000000000003</v>
      </c>
      <c r="I16" s="407" t="s">
        <v>109</v>
      </c>
      <c r="J16" s="394">
        <v>0.13100000000000001</v>
      </c>
    </row>
    <row r="17" spans="2:10" ht="30.2" customHeight="1" x14ac:dyDescent="0.2">
      <c r="B17" s="490"/>
      <c r="C17" s="487"/>
      <c r="D17" s="482"/>
      <c r="E17" s="294" t="s">
        <v>467</v>
      </c>
      <c r="F17" s="295">
        <v>0.112</v>
      </c>
      <c r="G17" s="489"/>
      <c r="H17" s="482"/>
      <c r="I17" s="294" t="s">
        <v>467</v>
      </c>
      <c r="J17" s="394">
        <v>1.2999999999999999E-2</v>
      </c>
    </row>
    <row r="18" spans="2:10" ht="30.2" customHeight="1" x14ac:dyDescent="0.2">
      <c r="B18" s="490"/>
      <c r="C18" s="390" t="s">
        <v>109</v>
      </c>
      <c r="D18" s="400">
        <v>6.2E-2</v>
      </c>
      <c r="E18" s="399" t="s">
        <v>513</v>
      </c>
      <c r="F18" s="397">
        <v>0.05</v>
      </c>
      <c r="G18" s="392" t="s">
        <v>457</v>
      </c>
      <c r="H18" s="389">
        <v>6.3E-2</v>
      </c>
      <c r="I18" s="399" t="s">
        <v>513</v>
      </c>
      <c r="J18" s="408">
        <v>4.2000000000000003E-2</v>
      </c>
    </row>
    <row r="19" spans="2:10" ht="30.2" customHeight="1" x14ac:dyDescent="0.2">
      <c r="B19" s="490"/>
      <c r="C19" s="399" t="s">
        <v>513</v>
      </c>
      <c r="D19" s="397">
        <v>4.5999999999999999E-2</v>
      </c>
      <c r="E19" s="298"/>
      <c r="F19" s="299"/>
      <c r="G19" s="399" t="s">
        <v>503</v>
      </c>
      <c r="H19" s="400">
        <v>3.1E-2</v>
      </c>
      <c r="I19" s="393" t="s">
        <v>509</v>
      </c>
      <c r="J19" s="395">
        <v>0.05</v>
      </c>
    </row>
    <row r="20" spans="2:10" ht="30.2" customHeight="1" x14ac:dyDescent="0.2">
      <c r="B20" s="490"/>
      <c r="C20" s="298"/>
      <c r="D20" s="299"/>
      <c r="E20" s="298"/>
      <c r="F20" s="299"/>
      <c r="G20" s="298"/>
      <c r="H20" s="299"/>
      <c r="I20" s="393" t="s">
        <v>506</v>
      </c>
      <c r="J20" s="395">
        <v>7.4999999999999997E-2</v>
      </c>
    </row>
    <row r="21" spans="2:10" ht="30.2" customHeight="1" x14ac:dyDescent="0.2">
      <c r="B21" s="485"/>
      <c r="C21" s="298"/>
      <c r="D21" s="299"/>
      <c r="E21" s="298"/>
      <c r="F21" s="299"/>
      <c r="G21" s="298"/>
      <c r="H21" s="299"/>
      <c r="I21" s="393" t="s">
        <v>516</v>
      </c>
      <c r="J21" s="395">
        <v>0.03</v>
      </c>
    </row>
    <row r="22" spans="2:10" ht="30.2" customHeight="1" x14ac:dyDescent="0.2">
      <c r="B22" s="293" t="s">
        <v>428</v>
      </c>
      <c r="C22" s="294" t="s">
        <v>455</v>
      </c>
      <c r="D22" s="308">
        <v>0.13100000000000001</v>
      </c>
      <c r="E22" s="294" t="s">
        <v>455</v>
      </c>
      <c r="F22" s="308">
        <v>0.1</v>
      </c>
      <c r="G22" s="294" t="s">
        <v>455</v>
      </c>
      <c r="H22" s="308">
        <v>3.5000000000000003E-2</v>
      </c>
      <c r="I22" s="294" t="s">
        <v>455</v>
      </c>
      <c r="J22" s="394">
        <v>0.18099999999999999</v>
      </c>
    </row>
    <row r="23" spans="2:10" ht="30.2" customHeight="1" x14ac:dyDescent="0.2">
      <c r="B23" s="293" t="s">
        <v>451</v>
      </c>
      <c r="C23" s="298"/>
      <c r="D23" s="299"/>
      <c r="E23" s="298"/>
      <c r="F23" s="299"/>
      <c r="G23" s="298"/>
      <c r="H23" s="298"/>
      <c r="I23" s="296"/>
      <c r="J23" s="406"/>
    </row>
    <row r="24" spans="2:10" ht="30.2" customHeight="1" x14ac:dyDescent="0.2">
      <c r="B24" s="301" t="s">
        <v>316</v>
      </c>
      <c r="C24" s="294" t="s">
        <v>455</v>
      </c>
      <c r="D24" s="308">
        <v>7.9000000000000001E-2</v>
      </c>
      <c r="E24" s="294" t="s">
        <v>455</v>
      </c>
      <c r="F24" s="308">
        <v>0.10299999999999999</v>
      </c>
      <c r="G24" s="294" t="s">
        <v>455</v>
      </c>
      <c r="H24" s="308">
        <v>0.112</v>
      </c>
      <c r="I24" s="294" t="s">
        <v>455</v>
      </c>
      <c r="J24" s="395">
        <v>0.151</v>
      </c>
    </row>
    <row r="25" spans="2:10" ht="30" customHeight="1" x14ac:dyDescent="0.2">
      <c r="B25" s="484" t="s">
        <v>450</v>
      </c>
      <c r="C25" s="399" t="s">
        <v>505</v>
      </c>
      <c r="D25" s="397">
        <v>2.4E-2</v>
      </c>
      <c r="E25" s="399" t="s">
        <v>505</v>
      </c>
      <c r="F25" s="397">
        <v>0.09</v>
      </c>
      <c r="G25" s="294" t="s">
        <v>507</v>
      </c>
      <c r="H25" s="308">
        <v>0.16900000000000001</v>
      </c>
      <c r="I25" s="399" t="s">
        <v>505</v>
      </c>
      <c r="J25" s="395">
        <v>7.0000000000000007E-2</v>
      </c>
    </row>
    <row r="26" spans="2:10" ht="30" customHeight="1" x14ac:dyDescent="0.2">
      <c r="B26" s="490"/>
      <c r="C26" s="405"/>
      <c r="D26" s="405"/>
      <c r="E26" s="405"/>
      <c r="F26" s="405"/>
      <c r="G26" s="405"/>
      <c r="H26" s="405"/>
      <c r="I26" s="399" t="s">
        <v>506</v>
      </c>
      <c r="J26" s="395">
        <v>4.2000000000000003E-2</v>
      </c>
    </row>
    <row r="27" spans="2:10" ht="30" customHeight="1" x14ac:dyDescent="0.2">
      <c r="B27" s="485"/>
      <c r="C27" s="405"/>
      <c r="D27" s="405"/>
      <c r="E27" s="405"/>
      <c r="F27" s="405"/>
      <c r="G27" s="405"/>
      <c r="H27" s="405"/>
      <c r="I27" s="399" t="s">
        <v>504</v>
      </c>
      <c r="J27" s="395">
        <v>0.02</v>
      </c>
    </row>
    <row r="29" spans="2:10" ht="30.2" customHeight="1" x14ac:dyDescent="0.2">
      <c r="B29" s="291" t="s">
        <v>444</v>
      </c>
      <c r="C29" s="475" t="s">
        <v>452</v>
      </c>
      <c r="D29" s="475"/>
      <c r="E29" s="475"/>
      <c r="F29" s="475"/>
      <c r="G29" s="475"/>
      <c r="H29" s="475"/>
      <c r="I29" s="475"/>
      <c r="J29" s="475"/>
    </row>
    <row r="30" spans="2:10" ht="30.2" customHeight="1" x14ac:dyDescent="0.2">
      <c r="B30" s="292" t="s">
        <v>449</v>
      </c>
      <c r="C30" s="476" t="s">
        <v>403</v>
      </c>
      <c r="D30" s="483"/>
      <c r="E30" s="476" t="s">
        <v>404</v>
      </c>
      <c r="F30" s="483"/>
      <c r="G30" s="476" t="s">
        <v>405</v>
      </c>
      <c r="H30" s="483"/>
      <c r="I30" s="476" t="s">
        <v>406</v>
      </c>
      <c r="J30" s="483"/>
    </row>
    <row r="31" spans="2:10" ht="30" customHeight="1" x14ac:dyDescent="0.2">
      <c r="B31" s="484" t="s">
        <v>454</v>
      </c>
      <c r="C31" s="294" t="s">
        <v>466</v>
      </c>
      <c r="D31" s="295">
        <v>0.39</v>
      </c>
      <c r="E31" s="294" t="s">
        <v>466</v>
      </c>
      <c r="F31" s="295">
        <v>0.3</v>
      </c>
      <c r="G31" s="379" t="s">
        <v>456</v>
      </c>
      <c r="H31" s="380">
        <v>0.36</v>
      </c>
      <c r="I31" s="294" t="s">
        <v>109</v>
      </c>
      <c r="J31" s="308">
        <v>8.7999999999999995E-2</v>
      </c>
    </row>
    <row r="32" spans="2:10" ht="30" customHeight="1" x14ac:dyDescent="0.2">
      <c r="B32" s="490"/>
      <c r="C32" s="390" t="s">
        <v>109</v>
      </c>
      <c r="D32" s="400">
        <v>4.3999999999999997E-2</v>
      </c>
      <c r="E32" s="294" t="s">
        <v>514</v>
      </c>
      <c r="F32" s="295">
        <v>0.11</v>
      </c>
      <c r="G32" s="391" t="s">
        <v>457</v>
      </c>
      <c r="H32" s="388">
        <v>7.4999999999999997E-2</v>
      </c>
      <c r="I32" s="399" t="s">
        <v>509</v>
      </c>
      <c r="J32" s="308">
        <v>0.06</v>
      </c>
    </row>
    <row r="33" spans="2:10" ht="30" customHeight="1" x14ac:dyDescent="0.2">
      <c r="B33" s="490"/>
      <c r="C33" s="399" t="s">
        <v>513</v>
      </c>
      <c r="D33" s="397">
        <v>4.2999999999999997E-2</v>
      </c>
      <c r="E33" s="399" t="s">
        <v>513</v>
      </c>
      <c r="F33" s="397">
        <v>4.2000000000000003E-2</v>
      </c>
      <c r="G33" s="302"/>
      <c r="H33" s="302"/>
      <c r="I33" s="294" t="s">
        <v>508</v>
      </c>
      <c r="J33" s="308">
        <v>2.3E-2</v>
      </c>
    </row>
    <row r="34" spans="2:10" ht="30" customHeight="1" x14ac:dyDescent="0.2">
      <c r="B34" s="490"/>
      <c r="C34" s="399" t="s">
        <v>506</v>
      </c>
      <c r="D34" s="400">
        <v>0.03</v>
      </c>
      <c r="E34" s="399" t="s">
        <v>509</v>
      </c>
      <c r="F34" s="400">
        <v>5.3999999999999999E-2</v>
      </c>
      <c r="G34" s="302"/>
      <c r="H34" s="302"/>
      <c r="I34" s="399" t="s">
        <v>513</v>
      </c>
      <c r="J34" s="397">
        <v>0.04</v>
      </c>
    </row>
    <row r="35" spans="2:10" ht="30" customHeight="1" x14ac:dyDescent="0.2">
      <c r="B35" s="490"/>
      <c r="C35" s="399" t="s">
        <v>509</v>
      </c>
      <c r="D35" s="400">
        <v>2.5000000000000001E-2</v>
      </c>
      <c r="E35" s="296"/>
      <c r="F35" s="404"/>
      <c r="G35" s="302"/>
      <c r="H35" s="302"/>
      <c r="I35" s="393" t="s">
        <v>516</v>
      </c>
      <c r="J35" s="395">
        <v>0.03</v>
      </c>
    </row>
    <row r="36" spans="2:10" ht="30" customHeight="1" x14ac:dyDescent="0.2">
      <c r="B36" s="490"/>
      <c r="C36" s="399" t="s">
        <v>510</v>
      </c>
      <c r="D36" s="400">
        <v>2.3E-2</v>
      </c>
      <c r="E36" s="296"/>
      <c r="F36" s="404"/>
      <c r="G36" s="302"/>
      <c r="H36" s="302"/>
      <c r="I36" s="393" t="s">
        <v>510</v>
      </c>
      <c r="J36" s="395">
        <v>2.1000000000000001E-2</v>
      </c>
    </row>
    <row r="37" spans="2:10" ht="30" customHeight="1" x14ac:dyDescent="0.2">
      <c r="B37" s="490"/>
      <c r="C37" s="302"/>
      <c r="D37" s="302"/>
      <c r="E37" s="296"/>
      <c r="F37" s="404"/>
      <c r="G37" s="302"/>
      <c r="H37" s="302"/>
      <c r="I37" s="393" t="s">
        <v>511</v>
      </c>
      <c r="J37" s="395">
        <v>2.1000000000000001E-2</v>
      </c>
    </row>
    <row r="38" spans="2:10" ht="30" customHeight="1" x14ac:dyDescent="0.2">
      <c r="B38" s="485"/>
      <c r="C38" s="302"/>
      <c r="D38" s="302"/>
      <c r="E38" s="296"/>
      <c r="F38" s="404"/>
      <c r="G38" s="302"/>
      <c r="H38" s="302"/>
      <c r="I38" s="393" t="s">
        <v>506</v>
      </c>
      <c r="J38" s="395">
        <v>0.06</v>
      </c>
    </row>
    <row r="39" spans="2:10" ht="29.25" customHeight="1" x14ac:dyDescent="0.2">
      <c r="B39" s="293" t="s">
        <v>428</v>
      </c>
      <c r="C39" s="294" t="s">
        <v>455</v>
      </c>
      <c r="D39" s="295">
        <v>0.15</v>
      </c>
      <c r="E39" s="294" t="s">
        <v>455</v>
      </c>
      <c r="F39" s="295">
        <v>0.114</v>
      </c>
      <c r="G39" s="294" t="s">
        <v>455</v>
      </c>
      <c r="H39" s="308">
        <v>4.2999999999999997E-2</v>
      </c>
      <c r="I39" s="294" t="s">
        <v>455</v>
      </c>
      <c r="J39" s="308">
        <v>0.193</v>
      </c>
    </row>
    <row r="40" spans="2:10" ht="30" customHeight="1" x14ac:dyDescent="0.2">
      <c r="B40" s="293" t="s">
        <v>451</v>
      </c>
      <c r="C40" s="298"/>
      <c r="D40" s="299"/>
      <c r="E40" s="298"/>
      <c r="F40" s="298"/>
      <c r="G40" s="298"/>
      <c r="H40" s="298"/>
      <c r="I40" s="296"/>
      <c r="J40" s="297"/>
    </row>
    <row r="41" spans="2:10" ht="27.95" customHeight="1" x14ac:dyDescent="0.2">
      <c r="B41" s="293" t="s">
        <v>316</v>
      </c>
      <c r="C41" s="294" t="s">
        <v>455</v>
      </c>
      <c r="D41" s="295">
        <v>9.0999999999999998E-2</v>
      </c>
      <c r="E41" s="294" t="s">
        <v>455</v>
      </c>
      <c r="F41" s="295">
        <v>0.12</v>
      </c>
      <c r="G41" s="294" t="s">
        <v>455</v>
      </c>
      <c r="H41" s="295">
        <v>0.14000000000000001</v>
      </c>
      <c r="I41" s="294" t="s">
        <v>455</v>
      </c>
      <c r="J41" s="308">
        <v>0.16200000000000001</v>
      </c>
    </row>
    <row r="42" spans="2:10" ht="27.2" customHeight="1" x14ac:dyDescent="0.2">
      <c r="B42" s="484" t="s">
        <v>450</v>
      </c>
      <c r="C42" s="305"/>
      <c r="D42" s="306"/>
      <c r="E42" s="305"/>
      <c r="F42" s="305"/>
      <c r="G42" s="294" t="s">
        <v>507</v>
      </c>
      <c r="H42" s="308">
        <v>0.155</v>
      </c>
      <c r="I42" s="399" t="s">
        <v>505</v>
      </c>
      <c r="J42" s="397">
        <v>0.06</v>
      </c>
    </row>
    <row r="43" spans="2:10" ht="27.2" customHeight="1" x14ac:dyDescent="0.2">
      <c r="B43" s="485"/>
      <c r="C43" s="399" t="s">
        <v>505</v>
      </c>
      <c r="D43" s="397">
        <v>2.5000000000000001E-2</v>
      </c>
      <c r="E43" s="399" t="s">
        <v>505</v>
      </c>
      <c r="F43" s="397">
        <v>9.0999999999999998E-2</v>
      </c>
      <c r="G43" s="294" t="s">
        <v>457</v>
      </c>
      <c r="H43" s="308">
        <v>3.3000000000000002E-2</v>
      </c>
      <c r="I43" s="399" t="s">
        <v>506</v>
      </c>
      <c r="J43" s="395">
        <v>4.2000000000000003E-2</v>
      </c>
    </row>
    <row r="45" spans="2:10" ht="30.2" customHeight="1" x14ac:dyDescent="0.2">
      <c r="B45" s="307" t="s">
        <v>445</v>
      </c>
      <c r="C45" s="475" t="s">
        <v>452</v>
      </c>
      <c r="D45" s="475"/>
      <c r="E45" s="475"/>
      <c r="F45" s="475"/>
      <c r="G45" s="475"/>
      <c r="H45" s="475"/>
      <c r="I45" s="475"/>
      <c r="J45" s="475"/>
    </row>
    <row r="46" spans="2:10" ht="30.2" customHeight="1" x14ac:dyDescent="0.2">
      <c r="B46" s="292" t="s">
        <v>449</v>
      </c>
      <c r="C46" s="476" t="s">
        <v>403</v>
      </c>
      <c r="D46" s="483"/>
      <c r="E46" s="476" t="s">
        <v>404</v>
      </c>
      <c r="F46" s="483"/>
      <c r="G46" s="476" t="s">
        <v>405</v>
      </c>
      <c r="H46" s="483"/>
      <c r="I46" s="476" t="s">
        <v>406</v>
      </c>
      <c r="J46" s="483"/>
    </row>
    <row r="47" spans="2:10" ht="30.2" customHeight="1" x14ac:dyDescent="0.2">
      <c r="B47" s="484" t="s">
        <v>454</v>
      </c>
      <c r="C47" s="294" t="s">
        <v>456</v>
      </c>
      <c r="D47" s="295">
        <v>0.47</v>
      </c>
      <c r="E47" s="294" t="s">
        <v>456</v>
      </c>
      <c r="F47" s="295">
        <v>0.55100000000000005</v>
      </c>
      <c r="G47" s="294" t="s">
        <v>456</v>
      </c>
      <c r="H47" s="295">
        <v>0.46300000000000002</v>
      </c>
      <c r="I47" s="294" t="s">
        <v>109</v>
      </c>
      <c r="J47" s="308">
        <v>0.32</v>
      </c>
    </row>
    <row r="48" spans="2:10" ht="30.2" customHeight="1" x14ac:dyDescent="0.2">
      <c r="B48" s="490"/>
      <c r="C48" s="393" t="s">
        <v>109</v>
      </c>
      <c r="D48" s="400">
        <v>0.09</v>
      </c>
      <c r="E48" s="294" t="s">
        <v>514</v>
      </c>
      <c r="F48" s="295">
        <v>9.0999999999999998E-2</v>
      </c>
      <c r="G48" s="398" t="s">
        <v>457</v>
      </c>
      <c r="H48" s="396">
        <v>0.159</v>
      </c>
      <c r="I48" s="294" t="s">
        <v>517</v>
      </c>
      <c r="J48" s="308">
        <v>0.374</v>
      </c>
    </row>
    <row r="49" spans="2:10" ht="30.2" customHeight="1" x14ac:dyDescent="0.2">
      <c r="B49" s="490"/>
      <c r="C49" s="393" t="s">
        <v>515</v>
      </c>
      <c r="D49" s="400">
        <v>0.17399999999999999</v>
      </c>
      <c r="E49" s="399" t="s">
        <v>513</v>
      </c>
      <c r="F49" s="397">
        <v>0.04</v>
      </c>
      <c r="G49" s="296"/>
      <c r="H49" s="297"/>
      <c r="I49" s="296"/>
      <c r="J49" s="297"/>
    </row>
    <row r="50" spans="2:10" ht="30.2" customHeight="1" x14ac:dyDescent="0.2">
      <c r="B50" s="485"/>
      <c r="C50" s="302"/>
      <c r="D50" s="303"/>
      <c r="E50" s="399" t="s">
        <v>515</v>
      </c>
      <c r="F50" s="400">
        <v>7.4999999999999997E-2</v>
      </c>
      <c r="G50" s="296"/>
      <c r="H50" s="297"/>
      <c r="I50" s="296"/>
      <c r="J50" s="297"/>
    </row>
    <row r="51" spans="2:10" ht="30.2" customHeight="1" x14ac:dyDescent="0.2">
      <c r="B51" s="293" t="s">
        <v>428</v>
      </c>
      <c r="C51" s="302"/>
      <c r="D51" s="303"/>
      <c r="E51" s="302"/>
      <c r="F51" s="302"/>
      <c r="G51" s="296"/>
      <c r="H51" s="297"/>
      <c r="I51" s="296"/>
      <c r="J51" s="297"/>
    </row>
    <row r="52" spans="2:10" ht="30.2" customHeight="1" x14ac:dyDescent="0.2">
      <c r="B52" s="293" t="s">
        <v>451</v>
      </c>
      <c r="C52" s="302"/>
      <c r="D52" s="303"/>
      <c r="E52" s="302"/>
      <c r="F52" s="302"/>
      <c r="G52" s="304"/>
      <c r="H52" s="303"/>
      <c r="I52" s="296"/>
      <c r="J52" s="297"/>
    </row>
    <row r="53" spans="2:10" ht="30.2" customHeight="1" x14ac:dyDescent="0.2">
      <c r="B53" s="293" t="s">
        <v>316</v>
      </c>
      <c r="C53" s="302"/>
      <c r="D53" s="303"/>
      <c r="E53" s="302"/>
      <c r="F53" s="302"/>
      <c r="G53" s="304"/>
      <c r="H53" s="303"/>
      <c r="I53" s="296"/>
      <c r="J53" s="297"/>
    </row>
    <row r="54" spans="2:10" ht="30.2" customHeight="1" x14ac:dyDescent="0.2">
      <c r="B54" s="293" t="s">
        <v>450</v>
      </c>
      <c r="C54" s="393" t="s">
        <v>512</v>
      </c>
      <c r="D54" s="400">
        <v>0.19</v>
      </c>
      <c r="E54" s="399" t="s">
        <v>505</v>
      </c>
      <c r="F54" s="397">
        <v>0.08</v>
      </c>
      <c r="G54" s="294" t="s">
        <v>507</v>
      </c>
      <c r="H54" s="308">
        <v>0.186</v>
      </c>
      <c r="I54" s="393" t="s">
        <v>512</v>
      </c>
      <c r="J54" s="308">
        <v>0.214</v>
      </c>
    </row>
    <row r="57" spans="2:10" ht="30.2" customHeight="1" x14ac:dyDescent="0.2">
      <c r="B57" s="291" t="s">
        <v>446</v>
      </c>
      <c r="C57" s="474" t="s">
        <v>452</v>
      </c>
      <c r="D57" s="475"/>
      <c r="E57" s="475"/>
      <c r="F57" s="475"/>
      <c r="G57" s="475"/>
      <c r="H57" s="475"/>
      <c r="I57" s="475"/>
      <c r="J57" s="475"/>
    </row>
    <row r="58" spans="2:10" ht="30.2" customHeight="1" x14ac:dyDescent="0.2">
      <c r="B58" s="292" t="s">
        <v>449</v>
      </c>
      <c r="C58" s="476" t="s">
        <v>403</v>
      </c>
      <c r="D58" s="483"/>
      <c r="E58" s="476" t="s">
        <v>404</v>
      </c>
      <c r="F58" s="483"/>
      <c r="G58" s="476" t="s">
        <v>405</v>
      </c>
      <c r="H58" s="483"/>
      <c r="I58" s="476" t="s">
        <v>406</v>
      </c>
      <c r="J58" s="483"/>
    </row>
    <row r="59" spans="2:10" ht="30.2" customHeight="1" x14ac:dyDescent="0.2">
      <c r="B59" s="484" t="s">
        <v>454</v>
      </c>
      <c r="C59" s="294" t="s">
        <v>456</v>
      </c>
      <c r="D59" s="295">
        <v>0.39</v>
      </c>
      <c r="E59" s="294" t="s">
        <v>456</v>
      </c>
      <c r="F59" s="295">
        <v>0.23799999999999999</v>
      </c>
      <c r="G59" s="294" t="s">
        <v>456</v>
      </c>
      <c r="H59" s="295">
        <v>0.13200000000000001</v>
      </c>
      <c r="I59" s="294" t="s">
        <v>459</v>
      </c>
      <c r="J59" s="308">
        <v>0.111</v>
      </c>
    </row>
    <row r="60" spans="2:10" ht="30.2" customHeight="1" x14ac:dyDescent="0.2">
      <c r="B60" s="490"/>
      <c r="C60" s="390" t="s">
        <v>109</v>
      </c>
      <c r="D60" s="400">
        <v>5.2999999999999999E-2</v>
      </c>
      <c r="E60" s="399" t="s">
        <v>513</v>
      </c>
      <c r="F60" s="397">
        <v>0.114</v>
      </c>
      <c r="G60" s="294" t="s">
        <v>457</v>
      </c>
      <c r="H60" s="308">
        <v>0.42099999999999999</v>
      </c>
      <c r="I60" s="393" t="s">
        <v>109</v>
      </c>
      <c r="J60" s="308">
        <v>0.1</v>
      </c>
    </row>
    <row r="61" spans="2:10" ht="30.2" customHeight="1" x14ac:dyDescent="0.2">
      <c r="B61" s="490"/>
      <c r="C61" s="302"/>
      <c r="D61" s="302"/>
      <c r="E61" s="399" t="s">
        <v>515</v>
      </c>
      <c r="F61" s="400">
        <v>7.4999999999999997E-2</v>
      </c>
      <c r="G61" s="302"/>
      <c r="H61" s="302"/>
      <c r="I61" s="393" t="s">
        <v>516</v>
      </c>
      <c r="J61" s="308">
        <v>0.05</v>
      </c>
    </row>
    <row r="62" spans="2:10" ht="30.2" customHeight="1" x14ac:dyDescent="0.2">
      <c r="B62" s="490"/>
      <c r="C62" s="302"/>
      <c r="D62" s="302"/>
      <c r="E62" s="393" t="s">
        <v>467</v>
      </c>
      <c r="F62" s="400">
        <v>0.221</v>
      </c>
      <c r="G62" s="302"/>
      <c r="H62" s="302"/>
      <c r="I62" s="393" t="s">
        <v>509</v>
      </c>
      <c r="J62" s="308">
        <v>0.05</v>
      </c>
    </row>
    <row r="63" spans="2:10" ht="30.2" customHeight="1" x14ac:dyDescent="0.2">
      <c r="B63" s="490"/>
      <c r="C63" s="302"/>
      <c r="D63" s="302"/>
      <c r="E63" s="302"/>
      <c r="F63" s="302"/>
      <c r="G63" s="302"/>
      <c r="H63" s="302"/>
      <c r="I63" s="393" t="s">
        <v>467</v>
      </c>
      <c r="J63" s="308">
        <v>0.03</v>
      </c>
    </row>
    <row r="64" spans="2:10" ht="30.2" customHeight="1" x14ac:dyDescent="0.2">
      <c r="B64" s="485"/>
      <c r="C64" s="399" t="s">
        <v>513</v>
      </c>
      <c r="D64" s="397">
        <v>0.14399999999999999</v>
      </c>
      <c r="E64" s="294" t="s">
        <v>467</v>
      </c>
      <c r="F64" s="295">
        <v>9.0999999999999998E-2</v>
      </c>
      <c r="G64" s="399" t="s">
        <v>503</v>
      </c>
      <c r="H64" s="400">
        <v>7.3999999999999996E-2</v>
      </c>
      <c r="I64" s="294" t="s">
        <v>460</v>
      </c>
      <c r="J64" s="308">
        <v>0.09</v>
      </c>
    </row>
    <row r="65" spans="2:13" ht="30.2" customHeight="1" x14ac:dyDescent="0.2">
      <c r="B65" s="293" t="s">
        <v>428</v>
      </c>
      <c r="C65" s="294" t="s">
        <v>455</v>
      </c>
      <c r="D65" s="295">
        <v>0.05</v>
      </c>
      <c r="E65" s="302"/>
      <c r="F65" s="302"/>
      <c r="G65" s="303"/>
      <c r="H65" s="303"/>
      <c r="I65" s="294" t="s">
        <v>455</v>
      </c>
      <c r="J65" s="308">
        <v>0.06</v>
      </c>
      <c r="K65" s="403"/>
      <c r="L65" s="403"/>
      <c r="M65" s="403"/>
    </row>
    <row r="66" spans="2:13" ht="30.2" customHeight="1" x14ac:dyDescent="0.2">
      <c r="B66" s="293" t="s">
        <v>451</v>
      </c>
      <c r="C66" s="302"/>
      <c r="D66" s="303"/>
      <c r="E66" s="302"/>
      <c r="F66" s="302"/>
      <c r="G66" s="303"/>
      <c r="H66" s="303"/>
      <c r="I66" s="296"/>
      <c r="J66" s="297"/>
      <c r="K66" s="403"/>
      <c r="L66" s="403"/>
      <c r="M66" s="403"/>
    </row>
    <row r="67" spans="2:13" ht="30.2" customHeight="1" x14ac:dyDescent="0.2">
      <c r="B67" s="293" t="s">
        <v>316</v>
      </c>
      <c r="C67" s="294" t="s">
        <v>455</v>
      </c>
      <c r="D67" s="295">
        <v>0.03</v>
      </c>
      <c r="E67" s="302"/>
      <c r="F67" s="302"/>
      <c r="G67" s="303"/>
      <c r="H67" s="303"/>
      <c r="I67" s="294" t="s">
        <v>455</v>
      </c>
      <c r="J67" s="308">
        <v>0.05</v>
      </c>
      <c r="K67" s="403"/>
      <c r="L67" s="403"/>
      <c r="M67" s="403"/>
    </row>
    <row r="68" spans="2:13" ht="30.2" customHeight="1" x14ac:dyDescent="0.2">
      <c r="B68" s="484" t="s">
        <v>450</v>
      </c>
      <c r="C68" s="294" t="s">
        <v>457</v>
      </c>
      <c r="D68" s="400">
        <v>9.1999999999999998E-2</v>
      </c>
      <c r="E68" s="399" t="s">
        <v>505</v>
      </c>
      <c r="F68" s="397">
        <v>0.15</v>
      </c>
      <c r="G68" s="294" t="s">
        <v>507</v>
      </c>
      <c r="H68" s="308">
        <v>5.1999999999999998E-2</v>
      </c>
      <c r="I68" s="399" t="s">
        <v>505</v>
      </c>
      <c r="J68" s="308">
        <v>0.12</v>
      </c>
      <c r="K68" s="403"/>
      <c r="L68" s="403"/>
      <c r="M68" s="403"/>
    </row>
    <row r="69" spans="2:13" ht="30" customHeight="1" x14ac:dyDescent="0.2">
      <c r="B69" s="485"/>
      <c r="C69" s="399" t="s">
        <v>505</v>
      </c>
      <c r="D69" s="397">
        <v>5.1999999999999998E-2</v>
      </c>
      <c r="E69" s="302"/>
      <c r="F69" s="302"/>
      <c r="G69" s="294" t="s">
        <v>457</v>
      </c>
      <c r="H69" s="308">
        <v>0.183</v>
      </c>
      <c r="I69" s="294" t="s">
        <v>457</v>
      </c>
      <c r="J69" s="308">
        <v>0.14399999999999999</v>
      </c>
    </row>
  </sheetData>
  <mergeCells count="35">
    <mergeCell ref="B68:B69"/>
    <mergeCell ref="G58:H58"/>
    <mergeCell ref="I58:J58"/>
    <mergeCell ref="B25:B27"/>
    <mergeCell ref="B16:B21"/>
    <mergeCell ref="B47:B50"/>
    <mergeCell ref="B31:B38"/>
    <mergeCell ref="B59:B64"/>
    <mergeCell ref="B7:B8"/>
    <mergeCell ref="B42:B43"/>
    <mergeCell ref="C46:D46"/>
    <mergeCell ref="C29:J29"/>
    <mergeCell ref="C45:J45"/>
    <mergeCell ref="C30:D30"/>
    <mergeCell ref="E30:F30"/>
    <mergeCell ref="I30:J30"/>
    <mergeCell ref="E15:F15"/>
    <mergeCell ref="G15:H15"/>
    <mergeCell ref="C16:C17"/>
    <mergeCell ref="D16:D17"/>
    <mergeCell ref="G16:G17"/>
    <mergeCell ref="I15:J15"/>
    <mergeCell ref="C5:E5"/>
    <mergeCell ref="C6:D6"/>
    <mergeCell ref="E6:E12"/>
    <mergeCell ref="H16:H17"/>
    <mergeCell ref="E58:F58"/>
    <mergeCell ref="E46:F46"/>
    <mergeCell ref="G46:H46"/>
    <mergeCell ref="G30:H30"/>
    <mergeCell ref="C57:J57"/>
    <mergeCell ref="C58:D58"/>
    <mergeCell ref="I46:J46"/>
    <mergeCell ref="C14:J14"/>
    <mergeCell ref="C15:D15"/>
  </mergeCells>
  <pageMargins left="0.7" right="0.7" top="0.78740157499999996" bottom="0.78740157499999996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P47"/>
  <sheetViews>
    <sheetView tabSelected="1" topLeftCell="D10" zoomScale="55" zoomScaleNormal="55" workbookViewId="0"/>
  </sheetViews>
  <sheetFormatPr defaultColWidth="11" defaultRowHeight="14.25" x14ac:dyDescent="0.2"/>
  <cols>
    <col min="1" max="1" width="4.25" style="2" customWidth="1"/>
    <col min="2" max="2" width="40.75" customWidth="1"/>
    <col min="3" max="6" width="13.75" customWidth="1"/>
    <col min="7" max="7" width="5.75" customWidth="1"/>
    <col min="8" max="8" width="40.75" style="63" customWidth="1"/>
    <col min="9" max="10" width="13.75" style="63" customWidth="1"/>
    <col min="11" max="12" width="13.75" customWidth="1"/>
    <col min="13" max="13" width="5.75" customWidth="1"/>
    <col min="14" max="16" width="13" customWidth="1"/>
  </cols>
  <sheetData>
    <row r="1" spans="1:12" ht="18.399999999999999" customHeight="1" x14ac:dyDescent="0.2">
      <c r="B1" s="266"/>
      <c r="C1" s="266"/>
      <c r="D1" s="266"/>
      <c r="E1" s="266"/>
      <c r="F1" s="266"/>
      <c r="G1" s="266"/>
      <c r="H1" s="312"/>
      <c r="I1" s="312"/>
      <c r="J1" s="312"/>
      <c r="K1" s="266"/>
      <c r="L1" s="266"/>
    </row>
    <row r="2" spans="1:12" ht="18" x14ac:dyDescent="0.25">
      <c r="B2" s="267" t="s">
        <v>461</v>
      </c>
      <c r="C2" s="266"/>
      <c r="D2" s="266"/>
      <c r="E2" s="266"/>
      <c r="F2" s="266"/>
      <c r="G2" s="266"/>
      <c r="H2" s="312"/>
      <c r="I2" s="312"/>
      <c r="J2" s="312"/>
      <c r="K2" s="266"/>
      <c r="L2" s="266"/>
    </row>
    <row r="3" spans="1:12" ht="25.9" customHeight="1" x14ac:dyDescent="0.2">
      <c r="B3" s="336" t="s">
        <v>469</v>
      </c>
      <c r="C3" s="266"/>
      <c r="D3" s="266"/>
      <c r="E3" s="266"/>
      <c r="F3" s="266"/>
      <c r="G3" s="266"/>
      <c r="H3" s="312"/>
      <c r="I3" s="312"/>
      <c r="J3" s="312"/>
      <c r="K3" s="266"/>
      <c r="L3" s="266"/>
    </row>
    <row r="4" spans="1:12" x14ac:dyDescent="0.2">
      <c r="H4"/>
      <c r="I4"/>
      <c r="J4"/>
    </row>
    <row r="5" spans="1:12" ht="25.15" customHeight="1" x14ac:dyDescent="0.2">
      <c r="B5" s="383" t="s">
        <v>491</v>
      </c>
      <c r="H5" s="383" t="s">
        <v>492</v>
      </c>
      <c r="I5"/>
      <c r="J5"/>
    </row>
    <row r="6" spans="1:12" s="9" customFormat="1" ht="30" customHeight="1" x14ac:dyDescent="0.2">
      <c r="A6" s="17"/>
      <c r="B6" s="337" t="s">
        <v>488</v>
      </c>
      <c r="C6" s="337" t="s">
        <v>403</v>
      </c>
      <c r="D6" s="337" t="s">
        <v>404</v>
      </c>
      <c r="E6" s="337" t="s">
        <v>405</v>
      </c>
      <c r="F6" s="337" t="s">
        <v>406</v>
      </c>
      <c r="G6" s="2"/>
      <c r="H6" s="337" t="s">
        <v>488</v>
      </c>
      <c r="I6" s="384" t="s">
        <v>493</v>
      </c>
      <c r="J6" s="384" t="s">
        <v>494</v>
      </c>
      <c r="K6" s="384" t="s">
        <v>495</v>
      </c>
      <c r="L6" s="384" t="s">
        <v>496</v>
      </c>
    </row>
    <row r="7" spans="1:12" s="9" customFormat="1" ht="20.100000000000001" customHeight="1" x14ac:dyDescent="0.2">
      <c r="A7" s="17"/>
      <c r="B7" s="339" t="s">
        <v>407</v>
      </c>
      <c r="C7" s="338">
        <v>4.47E-3</v>
      </c>
      <c r="D7" s="338">
        <v>3.2232142857142863E-3</v>
      </c>
      <c r="E7" s="338">
        <v>1.8494318181818181E-2</v>
      </c>
      <c r="F7" s="338">
        <v>9.3093749999999991E-4</v>
      </c>
      <c r="G7"/>
      <c r="H7" s="339" t="s">
        <v>407</v>
      </c>
      <c r="I7" s="338">
        <f>0.00911*O32</f>
        <v>2.7506038647342996E-4</v>
      </c>
      <c r="J7" s="338">
        <f>0.0154*O37</f>
        <v>2.6125000000000003E-4</v>
      </c>
      <c r="K7" s="338">
        <f>0.0153*O42</f>
        <v>6.7372159090909093E-4</v>
      </c>
      <c r="L7" s="338">
        <f>0.0127*O47</f>
        <v>3.5718749999999997E-4</v>
      </c>
    </row>
    <row r="8" spans="1:12" s="9" customFormat="1" ht="20.100000000000001" customHeight="1" x14ac:dyDescent="0.2">
      <c r="A8" s="17"/>
      <c r="B8" s="339" t="s">
        <v>408</v>
      </c>
      <c r="C8" s="338">
        <v>7.2E-9</v>
      </c>
      <c r="D8" s="338">
        <v>6.6500000000000008E-9</v>
      </c>
      <c r="E8" s="338">
        <v>9.291193181818182E-9</v>
      </c>
      <c r="F8" s="338">
        <v>2.3878125000000002E-9</v>
      </c>
      <c r="G8"/>
      <c r="H8" s="339" t="s">
        <v>408</v>
      </c>
      <c r="I8" s="338">
        <f>0.00000000244*O32</f>
        <v>7.3671497584541068E-11</v>
      </c>
      <c r="J8" s="338">
        <f>0.00000000413*O37</f>
        <v>7.0062499999999997E-11</v>
      </c>
      <c r="K8" s="338">
        <f>0.00000000409*O42</f>
        <v>1.8009943181818181E-10</v>
      </c>
      <c r="L8" s="338">
        <f>0.00000000339*O47</f>
        <v>9.534375000000001E-11</v>
      </c>
    </row>
    <row r="9" spans="1:12" s="9" customFormat="1" ht="20.100000000000001" customHeight="1" x14ac:dyDescent="0.2">
      <c r="A9" s="17"/>
      <c r="B9" s="291" t="s">
        <v>409</v>
      </c>
      <c r="C9" s="341">
        <v>1.04</v>
      </c>
      <c r="D9" s="341">
        <v>0.65482142857142867</v>
      </c>
      <c r="E9" s="341">
        <v>1.0215909090909092</v>
      </c>
      <c r="F9" s="341">
        <v>0.54</v>
      </c>
      <c r="G9"/>
      <c r="H9" s="291" t="s">
        <v>409</v>
      </c>
      <c r="I9" s="341">
        <f>3.03*O32</f>
        <v>9.1485507246376815E-2</v>
      </c>
      <c r="J9" s="341">
        <f>5.14*O37</f>
        <v>8.7196428571428578E-2</v>
      </c>
      <c r="K9" s="341">
        <f>5.09*O42</f>
        <v>0.22413352272727274</v>
      </c>
      <c r="L9" s="341">
        <f>4.22*O47</f>
        <v>0.1186875</v>
      </c>
    </row>
    <row r="10" spans="1:12" s="9" customFormat="1" ht="20.100000000000001" customHeight="1" x14ac:dyDescent="0.2">
      <c r="A10" s="17"/>
      <c r="B10" s="342" t="s">
        <v>410</v>
      </c>
      <c r="C10" s="338">
        <v>1.8600000000000001E-3</v>
      </c>
      <c r="D10" s="338">
        <v>1.2299107142857144E-3</v>
      </c>
      <c r="E10" s="338">
        <v>1.9595170454545455E-3</v>
      </c>
      <c r="F10" s="338">
        <v>1.5890625E-3</v>
      </c>
      <c r="G10"/>
      <c r="H10" s="342" t="s">
        <v>410</v>
      </c>
      <c r="I10" s="338">
        <f>0.0106*O32</f>
        <v>3.2004830917874399E-4</v>
      </c>
      <c r="J10" s="338">
        <f>0.0179*O37</f>
        <v>3.0366071428571432E-4</v>
      </c>
      <c r="K10" s="338">
        <f>0.0178*O42</f>
        <v>7.8380681818181826E-4</v>
      </c>
      <c r="L10" s="338">
        <f>0.0147*O47</f>
        <v>4.1343750000000001E-4</v>
      </c>
    </row>
    <row r="11" spans="1:12" s="9" customFormat="1" ht="20.100000000000001" customHeight="1" x14ac:dyDescent="0.2">
      <c r="A11" s="17"/>
      <c r="B11" s="342" t="s">
        <v>411</v>
      </c>
      <c r="C11" s="338">
        <v>1.04</v>
      </c>
      <c r="D11" s="338">
        <v>0.65312500000000007</v>
      </c>
      <c r="E11" s="338">
        <v>1.0171875000000001</v>
      </c>
      <c r="F11" s="338">
        <v>0.53718750000000004</v>
      </c>
      <c r="G11"/>
      <c r="H11" s="342" t="s">
        <v>411</v>
      </c>
      <c r="I11" s="338">
        <f>3.02*O32</f>
        <v>9.1183574879227056E-2</v>
      </c>
      <c r="J11" s="338">
        <f>5.11*O37</f>
        <v>8.6687500000000015E-2</v>
      </c>
      <c r="K11" s="338">
        <f>5.07*O42</f>
        <v>0.22325284090909092</v>
      </c>
      <c r="L11" s="338">
        <f>4.2*O47</f>
        <v>0.11812500000000001</v>
      </c>
    </row>
    <row r="12" spans="1:12" s="9" customFormat="1" ht="20.100000000000001" customHeight="1" x14ac:dyDescent="0.2">
      <c r="A12" s="17"/>
      <c r="B12" s="342" t="s">
        <v>412</v>
      </c>
      <c r="C12" s="338">
        <v>1.1800000000000001E-3</v>
      </c>
      <c r="D12" s="338">
        <v>6.683928571428572E-4</v>
      </c>
      <c r="E12" s="338">
        <v>8.9829545454545468E-4</v>
      </c>
      <c r="F12" s="338">
        <v>4.8656250000000002E-4</v>
      </c>
      <c r="G12"/>
      <c r="H12" s="342" t="s">
        <v>412</v>
      </c>
      <c r="I12" s="338">
        <f>0.00268*O32</f>
        <v>8.0917874396135275E-5</v>
      </c>
      <c r="J12" s="338">
        <f>0.00455*O37</f>
        <v>7.7187500000000013E-5</v>
      </c>
      <c r="K12" s="338">
        <f>0.00451*O42</f>
        <v>1.9859375000000001E-4</v>
      </c>
      <c r="L12" s="338">
        <f>0.00373*O47</f>
        <v>1.0490624999999999E-4</v>
      </c>
    </row>
    <row r="13" spans="1:12" s="9" customFormat="1" ht="20.100000000000001" customHeight="1" x14ac:dyDescent="0.2">
      <c r="A13" s="17"/>
      <c r="B13" s="339" t="s">
        <v>413</v>
      </c>
      <c r="C13" s="338">
        <v>0.29899999999999999</v>
      </c>
      <c r="D13" s="338">
        <v>0.23580357142857147</v>
      </c>
      <c r="E13" s="338">
        <v>0.52840909090909094</v>
      </c>
      <c r="F13" s="338">
        <v>8.7750000000000009E-2</v>
      </c>
      <c r="G13"/>
      <c r="H13" s="339" t="s">
        <v>413</v>
      </c>
      <c r="I13" s="338">
        <f>0.122*O32</f>
        <v>3.6835748792270534E-3</v>
      </c>
      <c r="J13" s="338">
        <f>0.207*O37</f>
        <v>3.5116071428571431E-3</v>
      </c>
      <c r="K13" s="338">
        <f>0.205*O42</f>
        <v>9.0269886363636368E-3</v>
      </c>
      <c r="L13" s="338">
        <f>0.17*O47</f>
        <v>4.7812500000000008E-3</v>
      </c>
    </row>
    <row r="14" spans="1:12" s="9" customFormat="1" ht="20.100000000000001" customHeight="1" x14ac:dyDescent="0.2">
      <c r="A14" s="17"/>
      <c r="B14" s="339" t="s">
        <v>414</v>
      </c>
      <c r="C14" s="338">
        <v>3.0899999999999999E-5</v>
      </c>
      <c r="D14" s="338">
        <v>2.7651785714285718E-5</v>
      </c>
      <c r="E14" s="338">
        <v>2.219318181818182E-5</v>
      </c>
      <c r="F14" s="338">
        <v>1.7212500000000002E-5</v>
      </c>
      <c r="G14"/>
      <c r="H14" s="339" t="s">
        <v>414</v>
      </c>
      <c r="I14" s="338">
        <f>0.00000632*O32</f>
        <v>1.9082125603864735E-7</v>
      </c>
      <c r="J14" s="338">
        <f>0.0000107*O37</f>
        <v>1.8151785714285714E-7</v>
      </c>
      <c r="K14" s="338">
        <f>0.0000106*O42</f>
        <v>4.6676136363636368E-7</v>
      </c>
      <c r="L14" s="338">
        <f>0.00000879*O47</f>
        <v>2.4721875000000003E-7</v>
      </c>
    </row>
    <row r="15" spans="1:12" s="9" customFormat="1" ht="20.100000000000001" customHeight="1" x14ac:dyDescent="0.2">
      <c r="A15" s="17"/>
      <c r="B15" s="339" t="s">
        <v>415</v>
      </c>
      <c r="C15" s="338">
        <v>8.6600000000000002E-4</v>
      </c>
      <c r="D15" s="338">
        <v>5.5812500000000003E-4</v>
      </c>
      <c r="E15" s="338">
        <v>7.4417613636363635E-4</v>
      </c>
      <c r="F15" s="338">
        <v>4.1343750000000001E-4</v>
      </c>
      <c r="G15"/>
      <c r="H15" s="339" t="s">
        <v>415</v>
      </c>
      <c r="I15" s="338">
        <f>0.00178*O32</f>
        <v>5.3743961352657003E-5</v>
      </c>
      <c r="J15" s="338">
        <f>0.00303*O37</f>
        <v>5.1401785714285726E-5</v>
      </c>
      <c r="K15" s="338">
        <f>0.003*O42</f>
        <v>1.3210227272727275E-4</v>
      </c>
      <c r="L15" s="338">
        <f>0.00248*O47</f>
        <v>6.9750000000000001E-5</v>
      </c>
    </row>
    <row r="16" spans="1:12" s="9" customFormat="1" ht="20.100000000000001" customHeight="1" x14ac:dyDescent="0.2">
      <c r="A16" s="17"/>
      <c r="B16" s="339" t="s">
        <v>416</v>
      </c>
      <c r="C16" s="338">
        <v>8.6800000000000002E-3</v>
      </c>
      <c r="D16" s="338">
        <v>5.5473214285714292E-3</v>
      </c>
      <c r="E16" s="338">
        <v>7.3096590909090915E-3</v>
      </c>
      <c r="F16" s="338">
        <v>4.134375E-3</v>
      </c>
      <c r="G16"/>
      <c r="H16" s="339" t="s">
        <v>416</v>
      </c>
      <c r="I16" s="338">
        <f>0.0182*O32</f>
        <v>5.495169082125605E-4</v>
      </c>
      <c r="J16" s="338">
        <f>0.0308*O37</f>
        <v>5.2250000000000007E-4</v>
      </c>
      <c r="K16" s="338">
        <f>0.0306*O42</f>
        <v>1.3474431818181819E-3</v>
      </c>
      <c r="L16" s="338">
        <f>0.0253*O47</f>
        <v>7.1156249999999996E-4</v>
      </c>
    </row>
    <row r="17" spans="1:16" s="9" customFormat="1" ht="20.100000000000001" customHeight="1" x14ac:dyDescent="0.2">
      <c r="A17" s="17"/>
      <c r="B17" s="339" t="s">
        <v>417</v>
      </c>
      <c r="C17" s="338">
        <v>0.13800000000000001</v>
      </c>
      <c r="D17" s="338">
        <v>9.3473214285714298E-2</v>
      </c>
      <c r="E17" s="338">
        <v>0.15808238636363636</v>
      </c>
      <c r="F17" s="338">
        <v>0.1310625</v>
      </c>
      <c r="G17"/>
      <c r="H17" s="339" t="s">
        <v>417</v>
      </c>
      <c r="I17" s="338">
        <f>1.27*O32</f>
        <v>3.8345410628019327E-2</v>
      </c>
      <c r="J17" s="338">
        <f>2.16*O37</f>
        <v>3.6642857142857151E-2</v>
      </c>
      <c r="K17" s="338">
        <f>2.14*O42</f>
        <v>9.423295454545455E-2</v>
      </c>
      <c r="L17" s="338">
        <f>1.77*O47</f>
        <v>4.9781249999999999E-2</v>
      </c>
    </row>
    <row r="18" spans="1:16" s="9" customFormat="1" ht="20.100000000000001" customHeight="1" x14ac:dyDescent="0.2">
      <c r="A18" s="17"/>
      <c r="B18" s="339" t="s">
        <v>418</v>
      </c>
      <c r="C18" s="338">
        <v>3.38</v>
      </c>
      <c r="D18" s="338">
        <v>2.3410714285714289</v>
      </c>
      <c r="E18" s="338">
        <v>3.9454545454545453</v>
      </c>
      <c r="F18" s="338">
        <v>2.5903125</v>
      </c>
      <c r="G18"/>
      <c r="H18" s="339" t="s">
        <v>418</v>
      </c>
      <c r="I18" s="338">
        <f>22.1*O32</f>
        <v>0.66727053140096626</v>
      </c>
      <c r="J18" s="338">
        <f>37.5*O37</f>
        <v>0.63616071428571441</v>
      </c>
      <c r="K18" s="338">
        <f>37.2*O42</f>
        <v>1.6380681818181821</v>
      </c>
      <c r="L18" s="338">
        <f>30.7*O47</f>
        <v>0.86343749999999997</v>
      </c>
    </row>
    <row r="19" spans="1:16" s="9" customFormat="1" ht="20.100000000000001" customHeight="1" x14ac:dyDescent="0.2">
      <c r="A19" s="17"/>
      <c r="B19" s="339" t="s">
        <v>419</v>
      </c>
      <c r="C19" s="338">
        <v>1.6199999999999999E-7</v>
      </c>
      <c r="D19" s="338">
        <v>9.4660714285714296E-8</v>
      </c>
      <c r="E19" s="338">
        <v>2.1268465909090912E-7</v>
      </c>
      <c r="F19" s="338">
        <v>3.5156250000000001E-8</v>
      </c>
      <c r="G19"/>
      <c r="H19" s="339" t="s">
        <v>419</v>
      </c>
      <c r="I19" s="338">
        <f>0.0000000643*O32</f>
        <v>1.9414251207729471E-9</v>
      </c>
      <c r="J19" s="338">
        <f>0.000000109*O37</f>
        <v>1.849107142857143E-9</v>
      </c>
      <c r="K19" s="338">
        <f>0.000000108*O42</f>
        <v>4.7556818181818187E-9</v>
      </c>
      <c r="L19" s="338">
        <f>0.0000000894*O47</f>
        <v>2.5143750000000002E-9</v>
      </c>
    </row>
    <row r="20" spans="1:16" s="9" customFormat="1" ht="19.7" customHeight="1" x14ac:dyDescent="0.2">
      <c r="A20" s="17"/>
      <c r="B20" s="339" t="s">
        <v>420</v>
      </c>
      <c r="C20" s="338">
        <v>3.5199999999999998E-9</v>
      </c>
      <c r="D20" s="338">
        <v>8.3125000000000008E-9</v>
      </c>
      <c r="E20" s="338">
        <v>9.1150568181818178E-9</v>
      </c>
      <c r="F20" s="338">
        <v>2.4103125000000001E-9</v>
      </c>
      <c r="G20"/>
      <c r="H20" s="339" t="s">
        <v>420</v>
      </c>
      <c r="I20" s="338">
        <f>0.00000000114*O32</f>
        <v>3.4420289855072465E-11</v>
      </c>
      <c r="J20" s="338">
        <f>0.00000000193*O37</f>
        <v>3.2741071428571438E-11</v>
      </c>
      <c r="K20" s="338">
        <f>0.00000000192*O42</f>
        <v>8.4545454545454548E-11</v>
      </c>
      <c r="L20" s="338">
        <f>0.00000000159*O47</f>
        <v>4.4718750000000004E-11</v>
      </c>
    </row>
    <row r="21" spans="1:16" s="9" customFormat="1" ht="30" customHeight="1" x14ac:dyDescent="0.2">
      <c r="A21" s="17"/>
      <c r="B21" s="340" t="s">
        <v>421</v>
      </c>
      <c r="C21" s="338">
        <v>2.4099999999999998E-3</v>
      </c>
      <c r="D21" s="338">
        <v>1.552232142857143E-3</v>
      </c>
      <c r="E21" s="338">
        <v>2.9678977272727274E-3</v>
      </c>
      <c r="F21" s="338">
        <v>1.06875E-3</v>
      </c>
      <c r="G21"/>
      <c r="H21" s="340" t="s">
        <v>421</v>
      </c>
      <c r="I21" s="338">
        <f>0.00487*O32</f>
        <v>1.4704106280193237E-4</v>
      </c>
      <c r="J21" s="338">
        <f>0.00826*O37</f>
        <v>1.40125E-4</v>
      </c>
      <c r="K21" s="338">
        <f>0.00819*O42</f>
        <v>3.6063920454545452E-4</v>
      </c>
      <c r="L21" s="338">
        <f>0.00677*O47</f>
        <v>1.9040625000000001E-4</v>
      </c>
    </row>
    <row r="22" spans="1:16" s="9" customFormat="1" ht="20.100000000000001" customHeight="1" x14ac:dyDescent="0.2">
      <c r="A22" s="17"/>
      <c r="B22" s="339" t="s">
        <v>422</v>
      </c>
      <c r="C22" s="338">
        <v>14.9</v>
      </c>
      <c r="D22" s="338">
        <v>9.7544642857142865</v>
      </c>
      <c r="E22" s="338">
        <v>14.311079545454547</v>
      </c>
      <c r="F22" s="338">
        <v>9.0562500000000004</v>
      </c>
      <c r="G22"/>
      <c r="H22" s="339" t="s">
        <v>422</v>
      </c>
      <c r="I22" s="338">
        <f>52.1*O32</f>
        <v>1.5730676328502418</v>
      </c>
      <c r="J22" s="338">
        <f>88.3*O37</f>
        <v>1.4979464285714288</v>
      </c>
      <c r="K22" s="338">
        <f>87.5*O42</f>
        <v>3.8529829545454546</v>
      </c>
      <c r="L22" s="338">
        <f>72.4*O47</f>
        <v>2.0362500000000003</v>
      </c>
    </row>
    <row r="23" spans="1:16" s="9" customFormat="1" ht="20.100000000000001" customHeight="1" x14ac:dyDescent="0.2">
      <c r="A23" s="17"/>
      <c r="B23" s="339" t="s">
        <v>423</v>
      </c>
      <c r="C23" s="338">
        <v>3.1900000000000003E-5</v>
      </c>
      <c r="D23" s="338">
        <v>1.7642857142857144E-5</v>
      </c>
      <c r="E23" s="338">
        <v>2.9546875000000005E-5</v>
      </c>
      <c r="F23" s="338">
        <v>6.8624999999999999E-6</v>
      </c>
      <c r="G23"/>
      <c r="H23" s="339" t="s">
        <v>423</v>
      </c>
      <c r="I23" s="338">
        <f>0.000000985*O32</f>
        <v>2.9740338164251212E-8</v>
      </c>
      <c r="J23" s="338">
        <f>0.00000167*O37</f>
        <v>2.833035714285715E-8</v>
      </c>
      <c r="K23" s="338">
        <f>0.00000166*O42</f>
        <v>7.3096590909090913E-8</v>
      </c>
      <c r="L23" s="338">
        <f>0.00000137*O47</f>
        <v>3.8531250000000003E-8</v>
      </c>
    </row>
    <row r="24" spans="1:16" s="9" customFormat="1" ht="20.100000000000001" customHeight="1" x14ac:dyDescent="0.2">
      <c r="A24" s="17"/>
      <c r="B24" s="339" t="s">
        <v>424</v>
      </c>
      <c r="C24" s="338">
        <v>5.7499999999999999E-8</v>
      </c>
      <c r="D24" s="338">
        <v>4.4785714285714294E-8</v>
      </c>
      <c r="E24" s="338">
        <v>1.7129261363636365E-7</v>
      </c>
      <c r="F24" s="338">
        <v>2.5284375E-8</v>
      </c>
      <c r="G24"/>
      <c r="H24" s="339" t="s">
        <v>424</v>
      </c>
      <c r="I24" s="338">
        <f>0.0000000926*O32</f>
        <v>2.7958937198067636E-9</v>
      </c>
      <c r="J24" s="338">
        <f>0.000000157*O37</f>
        <v>2.6633928571428571E-9</v>
      </c>
      <c r="K24" s="338">
        <f>0.000000156*O42</f>
        <v>6.869318181818182E-9</v>
      </c>
      <c r="L24" s="338">
        <f>0.000000129*O47</f>
        <v>3.628125E-9</v>
      </c>
    </row>
    <row r="25" spans="1:16" ht="19.7" customHeight="1" x14ac:dyDescent="0.2">
      <c r="B25" s="339" t="s">
        <v>425</v>
      </c>
      <c r="C25" s="338">
        <v>0.22700000000000001</v>
      </c>
      <c r="D25" s="338">
        <v>0.17133928571428572</v>
      </c>
      <c r="E25" s="338">
        <v>0.25980113636363639</v>
      </c>
      <c r="F25" s="338">
        <v>0.10125000000000001</v>
      </c>
      <c r="H25" s="339" t="s">
        <v>425</v>
      </c>
      <c r="I25" s="338">
        <f>0.421*O32</f>
        <v>1.2711352657004831E-2</v>
      </c>
      <c r="J25" s="338">
        <f>0.714*O37</f>
        <v>1.2112500000000002E-2</v>
      </c>
      <c r="K25" s="338">
        <f>0.708*O42</f>
        <v>3.1176136363636364E-2</v>
      </c>
      <c r="L25" s="338">
        <f>0.586*O47</f>
        <v>1.6481249999999999E-2</v>
      </c>
    </row>
    <row r="26" spans="1:16" x14ac:dyDescent="0.2">
      <c r="G26" s="362"/>
    </row>
    <row r="27" spans="1:16" ht="18" x14ac:dyDescent="0.25">
      <c r="B27" s="267" t="s">
        <v>498</v>
      </c>
      <c r="C27" s="266"/>
      <c r="D27" s="266"/>
      <c r="E27" s="266"/>
      <c r="F27" s="266"/>
      <c r="G27" s="266"/>
      <c r="H27" s="312"/>
      <c r="I27" s="312"/>
      <c r="J27" s="312"/>
      <c r="K27" s="266"/>
      <c r="L27" s="266"/>
      <c r="N27" s="491" t="s">
        <v>478</v>
      </c>
      <c r="O27" s="491"/>
      <c r="P27" s="491"/>
    </row>
    <row r="28" spans="1:16" ht="15" x14ac:dyDescent="0.2">
      <c r="B28" s="336" t="s">
        <v>497</v>
      </c>
      <c r="C28" s="266"/>
      <c r="D28" s="266"/>
      <c r="E28" s="266"/>
      <c r="F28" s="266"/>
      <c r="G28" s="266"/>
      <c r="H28" s="312"/>
      <c r="I28" s="312"/>
      <c r="J28" s="312"/>
      <c r="K28" s="266"/>
      <c r="L28" s="266"/>
      <c r="N28" s="352" t="s">
        <v>403</v>
      </c>
      <c r="O28" s="353" t="s">
        <v>470</v>
      </c>
      <c r="P28" s="354" t="s">
        <v>298</v>
      </c>
    </row>
    <row r="29" spans="1:16" x14ac:dyDescent="0.2">
      <c r="N29" s="355" t="s">
        <v>471</v>
      </c>
      <c r="O29" s="356">
        <v>0.43478260869565222</v>
      </c>
      <c r="P29" s="357" t="s">
        <v>314</v>
      </c>
    </row>
    <row r="30" spans="1:16" ht="28.7" customHeight="1" x14ac:dyDescent="0.2">
      <c r="B30" s="382" t="s">
        <v>401</v>
      </c>
      <c r="C30" s="372" t="s">
        <v>403</v>
      </c>
      <c r="D30" s="372" t="s">
        <v>404</v>
      </c>
      <c r="E30" s="373" t="s">
        <v>405</v>
      </c>
      <c r="F30" s="374" t="s">
        <v>406</v>
      </c>
      <c r="G30" s="2"/>
      <c r="H30" s="382" t="s">
        <v>401</v>
      </c>
      <c r="I30" s="384" t="s">
        <v>493</v>
      </c>
      <c r="J30" s="384" t="s">
        <v>494</v>
      </c>
      <c r="K30" s="384" t="s">
        <v>495</v>
      </c>
      <c r="L30" s="384" t="s">
        <v>496</v>
      </c>
      <c r="N30" s="355" t="s">
        <v>472</v>
      </c>
      <c r="O30" s="358">
        <v>8</v>
      </c>
      <c r="P30" s="357" t="s">
        <v>473</v>
      </c>
    </row>
    <row r="31" spans="1:16" ht="19.7" customHeight="1" x14ac:dyDescent="0.2">
      <c r="B31" s="385" t="s">
        <v>490</v>
      </c>
      <c r="C31" s="386">
        <v>1.25E-4</v>
      </c>
      <c r="D31" s="386">
        <v>7.4099999999999999E-5</v>
      </c>
      <c r="E31" s="386">
        <v>1.4799999999999999E-4</v>
      </c>
      <c r="F31" s="386">
        <v>4.7700000000000001E-5</v>
      </c>
      <c r="H31" s="385" t="s">
        <v>490</v>
      </c>
      <c r="I31" s="386">
        <f>0.000217*O32</f>
        <v>6.5519323671497589E-6</v>
      </c>
      <c r="J31" s="386">
        <f>0.000368*O37</f>
        <v>6.2428571428571437E-6</v>
      </c>
      <c r="K31" s="386">
        <f>0.000365*O42</f>
        <v>1.6072443181818183E-5</v>
      </c>
      <c r="L31" s="386">
        <f>0.000302*O47</f>
        <v>8.4937500000000015E-6</v>
      </c>
      <c r="N31" s="355" t="s">
        <v>474</v>
      </c>
      <c r="O31" s="358">
        <v>14.4</v>
      </c>
      <c r="P31" s="357" t="s">
        <v>475</v>
      </c>
    </row>
    <row r="32" spans="1:16" ht="19.7" customHeight="1" x14ac:dyDescent="0.2">
      <c r="B32" s="339" t="s">
        <v>434</v>
      </c>
      <c r="C32" s="338">
        <v>5.3900000000000001E-6</v>
      </c>
      <c r="D32" s="338">
        <v>3.8700000000000002E-6</v>
      </c>
      <c r="E32" s="338">
        <v>2.2099999999999998E-5</v>
      </c>
      <c r="F32" s="338">
        <v>1.11E-6</v>
      </c>
      <c r="H32" s="339" t="s">
        <v>434</v>
      </c>
      <c r="I32" s="338">
        <f>0.0000109*O32</f>
        <v>3.2910628019323677E-7</v>
      </c>
      <c r="J32" s="338">
        <f>0.0000185*O37</f>
        <v>3.1383928571428574E-7</v>
      </c>
      <c r="K32" s="338">
        <f>0.0000183*O42</f>
        <v>8.0582386363636371E-7</v>
      </c>
      <c r="L32" s="338">
        <f>0.0000152*O47</f>
        <v>4.2750000000000004E-7</v>
      </c>
      <c r="N32" s="363" t="s">
        <v>476</v>
      </c>
      <c r="O32" s="364">
        <f>O29/O31</f>
        <v>3.0193236714975848E-2</v>
      </c>
      <c r="P32" s="365" t="s">
        <v>477</v>
      </c>
    </row>
    <row r="33" spans="2:16" ht="19.7" customHeight="1" x14ac:dyDescent="0.2">
      <c r="B33" s="339" t="s">
        <v>483</v>
      </c>
      <c r="C33" s="338">
        <v>5.3400000000000002E-8</v>
      </c>
      <c r="D33" s="338">
        <v>3.5199999999999998E-8</v>
      </c>
      <c r="E33" s="338">
        <v>5.5999999999999999E-8</v>
      </c>
      <c r="F33" s="338">
        <v>4.5400000000000003E-8</v>
      </c>
      <c r="H33" s="339" t="s">
        <v>483</v>
      </c>
      <c r="I33" s="338">
        <f>0.000000302*O32</f>
        <v>9.1183574879227056E-9</v>
      </c>
      <c r="J33" s="338">
        <f>0.000000513*O37</f>
        <v>8.7026785714285732E-9</v>
      </c>
      <c r="K33" s="338">
        <f>0.000000508*O42</f>
        <v>2.2369318181818185E-8</v>
      </c>
      <c r="L33" s="338">
        <f>0.000000421*O47</f>
        <v>1.1840625000000001E-8</v>
      </c>
      <c r="N33" s="352" t="s">
        <v>404</v>
      </c>
      <c r="O33" s="353" t="s">
        <v>470</v>
      </c>
      <c r="P33" s="354" t="s">
        <v>298</v>
      </c>
    </row>
    <row r="34" spans="2:16" ht="19.7" customHeight="1" x14ac:dyDescent="0.2">
      <c r="B34" s="339" t="s">
        <v>484</v>
      </c>
      <c r="C34" s="338">
        <v>2.9899999999999998E-5</v>
      </c>
      <c r="D34" s="338">
        <v>1.8700000000000001E-5</v>
      </c>
      <c r="E34" s="338">
        <v>2.9099999999999999E-5</v>
      </c>
      <c r="F34" s="338">
        <v>1.5299999999999999E-5</v>
      </c>
      <c r="H34" s="339" t="s">
        <v>484</v>
      </c>
      <c r="I34" s="338">
        <f>0.0000863*O32</f>
        <v>2.6056763285024155E-6</v>
      </c>
      <c r="J34" s="338">
        <f>0.000146*O37</f>
        <v>2.4767857142857146E-6</v>
      </c>
      <c r="K34" s="338">
        <f>0.000145*O42</f>
        <v>6.3849431818181825E-6</v>
      </c>
      <c r="L34" s="338">
        <f>0.00012*O47</f>
        <v>3.3750000000000003E-6</v>
      </c>
      <c r="N34" s="355" t="s">
        <v>471</v>
      </c>
      <c r="O34" s="358">
        <v>0.19</v>
      </c>
      <c r="P34" s="357" t="s">
        <v>314</v>
      </c>
    </row>
    <row r="35" spans="2:16" ht="19.7" customHeight="1" x14ac:dyDescent="0.2">
      <c r="B35" s="339" t="s">
        <v>485</v>
      </c>
      <c r="C35" s="338">
        <v>3.3500000000000002E-8</v>
      </c>
      <c r="D35" s="338">
        <v>1.9099999999999999E-8</v>
      </c>
      <c r="E35" s="338">
        <v>2.5600000000000001E-8</v>
      </c>
      <c r="F35" s="338">
        <v>1.39E-8</v>
      </c>
      <c r="H35" s="339" t="s">
        <v>485</v>
      </c>
      <c r="I35" s="338">
        <f>0.0000000767*O32</f>
        <v>2.3158212560386476E-9</v>
      </c>
      <c r="J35" s="338">
        <f>0.00000013*O37</f>
        <v>2.205357142857143E-9</v>
      </c>
      <c r="K35" s="338">
        <f>0.000000129*O42</f>
        <v>5.6803977272727276E-9</v>
      </c>
      <c r="L35" s="338">
        <f>0.000000107*O47</f>
        <v>3.0093750000000003E-9</v>
      </c>
      <c r="N35" s="355" t="s">
        <v>472</v>
      </c>
      <c r="O35" s="358">
        <v>4</v>
      </c>
      <c r="P35" s="357" t="s">
        <v>473</v>
      </c>
    </row>
    <row r="36" spans="2:16" ht="19.7" customHeight="1" x14ac:dyDescent="0.2">
      <c r="B36" s="339" t="s">
        <v>437</v>
      </c>
      <c r="C36" s="338">
        <v>3.5900000000000003E-7</v>
      </c>
      <c r="D36" s="338">
        <v>3.2000000000000001E-7</v>
      </c>
      <c r="E36" s="338">
        <v>2.5600000000000002E-7</v>
      </c>
      <c r="F36" s="338">
        <v>1.99E-7</v>
      </c>
      <c r="H36" s="339" t="s">
        <v>437</v>
      </c>
      <c r="I36" s="338">
        <f>0.0000000731*O32</f>
        <v>2.2071256038647345E-9</v>
      </c>
      <c r="J36" s="338">
        <f>0.000000124*O37</f>
        <v>2.1035714285714289E-9</v>
      </c>
      <c r="K36" s="338">
        <f>0.000000123*O42</f>
        <v>5.4161931818181821E-9</v>
      </c>
      <c r="L36" s="338">
        <f>0.000000102*O47</f>
        <v>2.86875E-9</v>
      </c>
      <c r="N36" s="355" t="s">
        <v>474</v>
      </c>
      <c r="O36" s="358">
        <v>11.2</v>
      </c>
      <c r="P36" s="357" t="s">
        <v>475</v>
      </c>
    </row>
    <row r="37" spans="2:16" ht="19.7" customHeight="1" x14ac:dyDescent="0.2">
      <c r="B37" s="339" t="s">
        <v>438</v>
      </c>
      <c r="C37" s="338">
        <v>9.5999999999999991E-7</v>
      </c>
      <c r="D37" s="338">
        <v>6.1699999999999998E-7</v>
      </c>
      <c r="E37" s="338">
        <v>8.1900000000000001E-7</v>
      </c>
      <c r="F37" s="338">
        <v>4.5600000000000001E-7</v>
      </c>
      <c r="H37" s="339" t="s">
        <v>438</v>
      </c>
      <c r="I37" s="338">
        <f>0.00000197*O32</f>
        <v>5.9480676328502423E-8</v>
      </c>
      <c r="J37" s="338">
        <f>0.00000334*O37</f>
        <v>5.66607142857143E-8</v>
      </c>
      <c r="K37" s="338">
        <f>0.00000331*O42</f>
        <v>1.4575284090909092E-7</v>
      </c>
      <c r="L37" s="338">
        <f>0.00000274*O47</f>
        <v>7.7062500000000006E-8</v>
      </c>
      <c r="N37" s="363" t="s">
        <v>476</v>
      </c>
      <c r="O37" s="364">
        <f>O34/O36</f>
        <v>1.6964285714285716E-2</v>
      </c>
      <c r="P37" s="365" t="s">
        <v>477</v>
      </c>
    </row>
    <row r="38" spans="2:16" ht="19.7" customHeight="1" x14ac:dyDescent="0.2">
      <c r="B38" s="339" t="s">
        <v>439</v>
      </c>
      <c r="C38" s="338">
        <v>1.9300000000000002E-6</v>
      </c>
      <c r="D38" s="338">
        <v>1.2300000000000001E-6</v>
      </c>
      <c r="E38" s="338">
        <v>1.6199999999999999E-6</v>
      </c>
      <c r="F38" s="338">
        <v>9.1299999999999998E-7</v>
      </c>
      <c r="H38" s="339" t="s">
        <v>439</v>
      </c>
      <c r="I38" s="338">
        <f>0.00000402*O32</f>
        <v>1.2137681159420289E-7</v>
      </c>
      <c r="J38" s="338">
        <f>0.00000681*O37</f>
        <v>1.1552678571428573E-7</v>
      </c>
      <c r="K38" s="338">
        <f>0.00000675*O42</f>
        <v>2.9723011363636363E-7</v>
      </c>
      <c r="L38" s="338">
        <f>0.00000559*O47</f>
        <v>1.5721874999999999E-7</v>
      </c>
      <c r="N38" s="352" t="s">
        <v>405</v>
      </c>
      <c r="O38" s="353" t="s">
        <v>470</v>
      </c>
      <c r="P38" s="354" t="s">
        <v>298</v>
      </c>
    </row>
    <row r="39" spans="2:16" ht="19.7" customHeight="1" x14ac:dyDescent="0.2">
      <c r="B39" s="339" t="s">
        <v>447</v>
      </c>
      <c r="C39" s="338">
        <v>1.75E-6</v>
      </c>
      <c r="D39" s="338">
        <v>1.19E-6</v>
      </c>
      <c r="E39" s="338">
        <v>2.0099999999999998E-6</v>
      </c>
      <c r="F39" s="338">
        <v>1.66E-6</v>
      </c>
      <c r="H39" s="339" t="s">
        <v>447</v>
      </c>
      <c r="I39" s="338">
        <f>0.0000162*O32</f>
        <v>4.8913043478260876E-7</v>
      </c>
      <c r="J39" s="338">
        <f>0.0000274*O37</f>
        <v>4.6482142857142859E-7</v>
      </c>
      <c r="K39" s="338">
        <f>0.0000272*O42</f>
        <v>1.1977272727272729E-6</v>
      </c>
      <c r="L39" s="338">
        <f>0.0000225*O47</f>
        <v>6.3281250000000003E-7</v>
      </c>
      <c r="N39" s="355" t="s">
        <v>471</v>
      </c>
      <c r="O39" s="356">
        <v>3.1E-2</v>
      </c>
      <c r="P39" s="357" t="s">
        <v>314</v>
      </c>
    </row>
    <row r="40" spans="2:16" ht="19.7" customHeight="1" x14ac:dyDescent="0.2">
      <c r="B40" s="339" t="s">
        <v>440</v>
      </c>
      <c r="C40" s="338">
        <v>2.16E-7</v>
      </c>
      <c r="D40" s="338">
        <v>1.49E-7</v>
      </c>
      <c r="E40" s="338">
        <v>2.4999999999999999E-7</v>
      </c>
      <c r="F40" s="338">
        <v>1.6400000000000001E-7</v>
      </c>
      <c r="H40" s="339" t="s">
        <v>440</v>
      </c>
      <c r="I40" s="338">
        <f>0.0000014*O32</f>
        <v>4.2270531400966188E-8</v>
      </c>
      <c r="J40" s="338">
        <f>0.00000237*O37</f>
        <v>4.0205357142857149E-8</v>
      </c>
      <c r="K40" s="338">
        <f>0.00000235*O42</f>
        <v>1.0348011363636363E-7</v>
      </c>
      <c r="L40" s="338">
        <f>0.00000195*O47</f>
        <v>5.4843749999999998E-8</v>
      </c>
      <c r="N40" s="355" t="s">
        <v>472</v>
      </c>
      <c r="O40" s="358">
        <v>1</v>
      </c>
      <c r="P40" s="357" t="s">
        <v>473</v>
      </c>
    </row>
    <row r="41" spans="2:16" ht="19.7" customHeight="1" x14ac:dyDescent="0.2">
      <c r="B41" s="339" t="s">
        <v>442</v>
      </c>
      <c r="C41" s="338">
        <v>1.0099999999999999E-8</v>
      </c>
      <c r="D41" s="338">
        <v>2.4E-8</v>
      </c>
      <c r="E41" s="338">
        <v>2.6300000000000001E-8</v>
      </c>
      <c r="F41" s="338">
        <v>6.9500000000000002E-9</v>
      </c>
      <c r="H41" s="339" t="s">
        <v>442</v>
      </c>
      <c r="I41" s="338">
        <f>0.00000000329*O32</f>
        <v>9.9335748792270544E-11</v>
      </c>
      <c r="J41" s="338">
        <f>0.00000000557*O37</f>
        <v>9.4491071428571445E-11</v>
      </c>
      <c r="K41" s="338">
        <f>0.00000000553*O42</f>
        <v>2.4350852272727274E-10</v>
      </c>
      <c r="L41" s="338">
        <f>0.00000000457*O47</f>
        <v>1.2853125000000001E-10</v>
      </c>
      <c r="N41" s="355" t="s">
        <v>474</v>
      </c>
      <c r="O41" s="358">
        <v>0.70399999999999996</v>
      </c>
      <c r="P41" s="357" t="s">
        <v>475</v>
      </c>
    </row>
    <row r="42" spans="2:16" ht="19.7" customHeight="1" x14ac:dyDescent="0.2">
      <c r="B42" s="339" t="s">
        <v>443</v>
      </c>
      <c r="C42" s="338">
        <v>3.0599999999999999E-6</v>
      </c>
      <c r="D42" s="338">
        <v>1.95E-6</v>
      </c>
      <c r="E42" s="338">
        <v>3.72E-6</v>
      </c>
      <c r="F42" s="338">
        <v>1.3400000000000001E-6</v>
      </c>
      <c r="H42" s="339" t="s">
        <v>443</v>
      </c>
      <c r="I42" s="338">
        <f>0.00000612*O32</f>
        <v>1.8478260869565217E-7</v>
      </c>
      <c r="J42" s="338">
        <f>0.0000104*O37</f>
        <v>1.7642857142857146E-7</v>
      </c>
      <c r="K42" s="338">
        <f>0.0000103*O42</f>
        <v>4.5355113636363635E-7</v>
      </c>
      <c r="L42" s="338">
        <f>0.00000851*O47</f>
        <v>2.3934375000000002E-7</v>
      </c>
      <c r="N42" s="363" t="s">
        <v>476</v>
      </c>
      <c r="O42" s="364">
        <f>O39/O41</f>
        <v>4.4034090909090912E-2</v>
      </c>
      <c r="P42" s="365" t="s">
        <v>477</v>
      </c>
    </row>
    <row r="43" spans="2:16" ht="19.7" customHeight="1" x14ac:dyDescent="0.2">
      <c r="B43" s="339" t="s">
        <v>444</v>
      </c>
      <c r="C43" s="338">
        <v>2.0599999999999999E-5</v>
      </c>
      <c r="D43" s="338">
        <v>1.33E-5</v>
      </c>
      <c r="E43" s="338">
        <v>1.95E-5</v>
      </c>
      <c r="F43" s="338">
        <v>1.2300000000000001E-5</v>
      </c>
      <c r="H43" s="339" t="s">
        <v>444</v>
      </c>
      <c r="I43" s="338">
        <f>0.0000711*O32</f>
        <v>2.1467391304347824E-6</v>
      </c>
      <c r="J43" s="338">
        <f>0.000121*O37</f>
        <v>2.0526785714285717E-6</v>
      </c>
      <c r="K43" s="338">
        <f>0.00012*O42</f>
        <v>5.2840909090909094E-6</v>
      </c>
      <c r="L43" s="338">
        <f>0.000099*O47</f>
        <v>2.7843749999999999E-6</v>
      </c>
      <c r="N43" s="352" t="s">
        <v>406</v>
      </c>
      <c r="O43" s="353" t="s">
        <v>470</v>
      </c>
      <c r="P43" s="354" t="s">
        <v>298</v>
      </c>
    </row>
    <row r="44" spans="2:16" ht="19.7" customHeight="1" x14ac:dyDescent="0.2">
      <c r="B44" s="339" t="s">
        <v>445</v>
      </c>
      <c r="C44" s="338">
        <v>4.9799999999999998E-5</v>
      </c>
      <c r="D44" s="338">
        <v>2.4600000000000002E-5</v>
      </c>
      <c r="E44" s="338">
        <v>4.1199999999999999E-5</v>
      </c>
      <c r="F44" s="338">
        <v>9.5599999999999999E-6</v>
      </c>
      <c r="H44" s="339" t="s">
        <v>445</v>
      </c>
      <c r="I44" s="338">
        <f>0.00000137*O32</f>
        <v>4.1364734299516913E-8</v>
      </c>
      <c r="J44" s="338">
        <f>0.00000233*O37</f>
        <v>3.952678571428572E-8</v>
      </c>
      <c r="K44" s="338">
        <f>0.00000231*O42</f>
        <v>1.0171875000000001E-7</v>
      </c>
      <c r="L44" s="338">
        <f>0.00000191*O47</f>
        <v>5.3718749999999999E-8</v>
      </c>
      <c r="N44" s="355" t="s">
        <v>471</v>
      </c>
      <c r="O44" s="358">
        <v>225</v>
      </c>
      <c r="P44" s="357" t="s">
        <v>314</v>
      </c>
    </row>
    <row r="45" spans="2:16" ht="19.7" customHeight="1" x14ac:dyDescent="0.2">
      <c r="B45" s="339" t="s">
        <v>446</v>
      </c>
      <c r="C45" s="338">
        <v>8.7700000000000007E-6</v>
      </c>
      <c r="D45" s="338">
        <v>6.7299999999999999E-6</v>
      </c>
      <c r="E45" s="338">
        <v>2.5599999999999999E-5</v>
      </c>
      <c r="F45" s="338">
        <v>3.7799999999999998E-6</v>
      </c>
      <c r="H45" s="339" t="s">
        <v>446</v>
      </c>
      <c r="I45" s="338">
        <f>0.0000139*O32</f>
        <v>4.1968599033816428E-7</v>
      </c>
      <c r="J45" s="338">
        <f>0.0000235*O37</f>
        <v>3.9866071428571432E-7</v>
      </c>
      <c r="K45" s="338">
        <f>0.0000233*O42</f>
        <v>1.0259943181818183E-6</v>
      </c>
      <c r="L45" s="338">
        <f>0.0000193*O47</f>
        <v>5.4281250000000004E-7</v>
      </c>
      <c r="N45" s="355" t="s">
        <v>472</v>
      </c>
      <c r="O45" s="358">
        <v>250</v>
      </c>
      <c r="P45" s="357" t="s">
        <v>473</v>
      </c>
    </row>
    <row r="46" spans="2:16" ht="19.7" customHeight="1" x14ac:dyDescent="0.2">
      <c r="B46" s="339" t="s">
        <v>448</v>
      </c>
      <c r="C46" s="338">
        <v>1.8700000000000001E-6</v>
      </c>
      <c r="D46" s="338">
        <v>1.3400000000000001E-6</v>
      </c>
      <c r="E46" s="338">
        <v>2.04E-6</v>
      </c>
      <c r="F46" s="338">
        <v>7.9500000000000001E-7</v>
      </c>
      <c r="H46" s="339" t="s">
        <v>448</v>
      </c>
      <c r="I46" s="338">
        <f>0.00000331*O32</f>
        <v>9.9939613526570055E-8</v>
      </c>
      <c r="J46" s="338">
        <f>0.0000056*O37</f>
        <v>9.5000000000000004E-8</v>
      </c>
      <c r="K46" s="338">
        <f>0.00000556*O42</f>
        <v>2.4482954545454545E-7</v>
      </c>
      <c r="L46" s="338">
        <f>0.0000046*O47</f>
        <v>1.2937500000000001E-7</v>
      </c>
      <c r="N46" s="355" t="s">
        <v>474</v>
      </c>
      <c r="O46" s="358">
        <v>8000</v>
      </c>
      <c r="P46" s="357" t="s">
        <v>475</v>
      </c>
    </row>
    <row r="47" spans="2:16" x14ac:dyDescent="0.2">
      <c r="N47" s="363" t="s">
        <v>476</v>
      </c>
      <c r="O47" s="364">
        <f>O44/O46</f>
        <v>2.8125000000000001E-2</v>
      </c>
      <c r="P47" s="365" t="s">
        <v>477</v>
      </c>
    </row>
  </sheetData>
  <mergeCells count="1">
    <mergeCell ref="N27:P27"/>
  </mergeCells>
  <pageMargins left="0.7" right="0.7" top="0.78740157499999996" bottom="0.78740157499999996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54"/>
  <sheetViews>
    <sheetView workbookViewId="0">
      <selection activeCell="Q10" sqref="Q10"/>
    </sheetView>
  </sheetViews>
  <sheetFormatPr defaultColWidth="11" defaultRowHeight="14.25" x14ac:dyDescent="0.2"/>
  <cols>
    <col min="1" max="1" width="4" customWidth="1"/>
    <col min="8" max="8" width="5.75" customWidth="1"/>
  </cols>
  <sheetData>
    <row r="1" ht="26.45" customHeight="1" x14ac:dyDescent="0.2"/>
    <row r="54" ht="26.45" customHeight="1" x14ac:dyDescent="0.2"/>
  </sheetData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58"/>
  <sheetViews>
    <sheetView workbookViewId="0"/>
  </sheetViews>
  <sheetFormatPr defaultColWidth="8" defaultRowHeight="15" x14ac:dyDescent="0.25"/>
  <cols>
    <col min="1" max="1" width="5.75" style="7" customWidth="1"/>
    <col min="2" max="2" width="23.125" style="164" customWidth="1"/>
    <col min="3" max="3" width="7.875" style="181" customWidth="1"/>
    <col min="4" max="4" width="22.625" style="164" customWidth="1"/>
    <col min="5" max="5" width="48.375" style="164" customWidth="1"/>
    <col min="6" max="6" width="15.75" style="164" customWidth="1"/>
    <col min="7" max="7" width="8" style="164"/>
    <col min="8" max="8" width="23.125" style="164" customWidth="1"/>
    <col min="9" max="12" width="8" style="165"/>
    <col min="13" max="16384" width="8" style="7"/>
  </cols>
  <sheetData>
    <row r="1" spans="1:12" x14ac:dyDescent="0.25">
      <c r="A1" s="187"/>
      <c r="B1" s="182"/>
      <c r="C1" s="183"/>
      <c r="D1" s="182"/>
      <c r="E1" s="182"/>
      <c r="F1" s="182"/>
      <c r="G1" s="182"/>
      <c r="H1" s="182"/>
      <c r="I1" s="187"/>
    </row>
    <row r="2" spans="1:12" ht="14.45" customHeight="1" x14ac:dyDescent="0.25">
      <c r="A2" s="187"/>
      <c r="B2" s="18" t="s">
        <v>175</v>
      </c>
      <c r="C2" s="177"/>
      <c r="D2" s="442" t="s">
        <v>184</v>
      </c>
      <c r="E2" s="442"/>
      <c r="F2" s="442"/>
      <c r="G2" s="442"/>
      <c r="H2" s="442"/>
      <c r="I2" s="188"/>
      <c r="J2" s="186"/>
      <c r="K2" s="186"/>
      <c r="L2" s="186"/>
    </row>
    <row r="3" spans="1:12" x14ac:dyDescent="0.25">
      <c r="A3" s="187"/>
      <c r="B3" s="18" t="s">
        <v>176</v>
      </c>
      <c r="C3" s="110"/>
      <c r="D3" s="21" t="s">
        <v>185</v>
      </c>
      <c r="E3" s="21"/>
      <c r="F3" s="21"/>
      <c r="G3" s="21"/>
      <c r="H3" s="110"/>
      <c r="I3" s="20"/>
      <c r="J3" s="47"/>
      <c r="K3" s="47"/>
      <c r="L3" s="64"/>
    </row>
    <row r="4" spans="1:12" x14ac:dyDescent="0.25">
      <c r="A4" s="187"/>
      <c r="B4" s="18" t="s">
        <v>177</v>
      </c>
      <c r="C4" s="110"/>
      <c r="D4" s="21" t="s">
        <v>189</v>
      </c>
      <c r="E4" s="21"/>
      <c r="F4" s="21"/>
      <c r="G4" s="21"/>
      <c r="H4" s="110"/>
      <c r="I4" s="20"/>
      <c r="J4" s="47"/>
      <c r="K4" s="47"/>
      <c r="L4" s="64"/>
    </row>
    <row r="5" spans="1:12" x14ac:dyDescent="0.25">
      <c r="A5" s="187"/>
      <c r="B5" s="18" t="s">
        <v>178</v>
      </c>
      <c r="C5" s="110"/>
      <c r="D5" s="21" t="s">
        <v>186</v>
      </c>
      <c r="E5" s="21"/>
      <c r="F5" s="21"/>
      <c r="G5" s="21"/>
      <c r="H5" s="110"/>
      <c r="I5" s="20"/>
      <c r="J5" s="47"/>
      <c r="K5" s="47"/>
      <c r="L5" s="64"/>
    </row>
    <row r="6" spans="1:12" x14ac:dyDescent="0.25">
      <c r="A6" s="187"/>
      <c r="B6" s="18" t="s">
        <v>179</v>
      </c>
      <c r="C6" s="110"/>
      <c r="D6" s="21" t="s">
        <v>188</v>
      </c>
      <c r="E6" s="21"/>
      <c r="F6" s="21"/>
      <c r="G6" s="21"/>
      <c r="H6" s="110"/>
      <c r="I6" s="20"/>
      <c r="J6" s="47"/>
      <c r="K6" s="47"/>
      <c r="L6" s="64"/>
    </row>
    <row r="7" spans="1:12" x14ac:dyDescent="0.25">
      <c r="A7" s="187"/>
      <c r="B7" s="18" t="s">
        <v>180</v>
      </c>
      <c r="C7" s="110"/>
      <c r="D7" s="21" t="s">
        <v>181</v>
      </c>
      <c r="E7" s="21"/>
      <c r="F7" s="21"/>
      <c r="G7" s="21"/>
      <c r="H7" s="110"/>
      <c r="I7" s="20"/>
      <c r="J7" s="47"/>
      <c r="K7" s="47"/>
      <c r="L7" s="64"/>
    </row>
    <row r="8" spans="1:12" x14ac:dyDescent="0.25">
      <c r="A8" s="187"/>
      <c r="B8" s="18" t="s">
        <v>183</v>
      </c>
      <c r="C8" s="110"/>
      <c r="D8" s="21" t="s">
        <v>187</v>
      </c>
      <c r="E8" s="21"/>
      <c r="F8" s="21"/>
      <c r="G8" s="21"/>
      <c r="H8" s="110"/>
      <c r="I8" s="20"/>
      <c r="J8" s="47"/>
      <c r="K8" s="47"/>
      <c r="L8" s="64"/>
    </row>
    <row r="9" spans="1:12" x14ac:dyDescent="0.25">
      <c r="A9" s="187"/>
      <c r="B9" s="182"/>
      <c r="C9" s="183"/>
      <c r="D9" s="182"/>
      <c r="E9" s="182"/>
      <c r="F9" s="182"/>
      <c r="G9" s="182"/>
      <c r="H9" s="182"/>
      <c r="I9" s="187"/>
    </row>
    <row r="10" spans="1:12" ht="14.45" customHeight="1" x14ac:dyDescent="0.25">
      <c r="A10" s="187"/>
      <c r="B10" s="446" t="s">
        <v>168</v>
      </c>
      <c r="C10" s="448" t="s">
        <v>284</v>
      </c>
      <c r="D10" s="449"/>
      <c r="E10" s="438" t="s">
        <v>182</v>
      </c>
      <c r="F10" s="430" t="s">
        <v>256</v>
      </c>
      <c r="G10" s="430" t="s">
        <v>266</v>
      </c>
      <c r="H10" s="450" t="s">
        <v>257</v>
      </c>
      <c r="I10" s="187"/>
    </row>
    <row r="11" spans="1:12" ht="30" customHeight="1" x14ac:dyDescent="0.25">
      <c r="A11" s="187"/>
      <c r="B11" s="447"/>
      <c r="C11" s="175" t="s">
        <v>276</v>
      </c>
      <c r="D11" s="176" t="s">
        <v>275</v>
      </c>
      <c r="E11" s="438"/>
      <c r="F11" s="430"/>
      <c r="G11" s="430"/>
      <c r="H11" s="450"/>
      <c r="I11" s="187"/>
    </row>
    <row r="12" spans="1:12" x14ac:dyDescent="0.25">
      <c r="A12" s="187"/>
      <c r="B12" s="166" t="s">
        <v>169</v>
      </c>
      <c r="C12" s="178" t="s">
        <v>29</v>
      </c>
      <c r="D12" s="167" t="s">
        <v>169</v>
      </c>
      <c r="E12" s="168" t="s">
        <v>277</v>
      </c>
      <c r="F12" s="96" t="s">
        <v>265</v>
      </c>
      <c r="G12" s="96" t="s">
        <v>193</v>
      </c>
      <c r="H12" s="168"/>
      <c r="I12" s="187"/>
    </row>
    <row r="13" spans="1:12" x14ac:dyDescent="0.25">
      <c r="A13" s="187"/>
      <c r="B13" s="166" t="s">
        <v>170</v>
      </c>
      <c r="C13" s="178" t="s">
        <v>32</v>
      </c>
      <c r="D13" s="167" t="s">
        <v>170</v>
      </c>
      <c r="E13" s="168" t="s">
        <v>170</v>
      </c>
      <c r="F13" s="96" t="s">
        <v>265</v>
      </c>
      <c r="G13" s="96" t="s">
        <v>193</v>
      </c>
      <c r="H13" s="168"/>
      <c r="I13" s="187"/>
    </row>
    <row r="14" spans="1:12" x14ac:dyDescent="0.25">
      <c r="A14" s="187"/>
      <c r="B14" s="166" t="s">
        <v>171</v>
      </c>
      <c r="C14" s="178" t="s">
        <v>29</v>
      </c>
      <c r="D14" s="167" t="s">
        <v>171</v>
      </c>
      <c r="E14" s="168" t="s">
        <v>278</v>
      </c>
      <c r="F14" s="96" t="s">
        <v>265</v>
      </c>
      <c r="G14" s="96" t="s">
        <v>193</v>
      </c>
      <c r="H14" s="168"/>
      <c r="I14" s="187"/>
    </row>
    <row r="15" spans="1:12" x14ac:dyDescent="0.25">
      <c r="A15" s="187"/>
      <c r="B15" s="166" t="s">
        <v>170</v>
      </c>
      <c r="C15" s="178" t="s">
        <v>32</v>
      </c>
      <c r="D15" s="167" t="s">
        <v>170</v>
      </c>
      <c r="E15" s="168" t="s">
        <v>170</v>
      </c>
      <c r="F15" s="96" t="s">
        <v>265</v>
      </c>
      <c r="G15" s="96" t="s">
        <v>193</v>
      </c>
      <c r="H15" s="168"/>
      <c r="I15" s="187"/>
    </row>
    <row r="16" spans="1:12" x14ac:dyDescent="0.25">
      <c r="A16" s="187"/>
      <c r="B16" s="166" t="s">
        <v>38</v>
      </c>
      <c r="C16" s="178" t="s">
        <v>32</v>
      </c>
      <c r="D16" s="167" t="s">
        <v>38</v>
      </c>
      <c r="E16" s="168" t="s">
        <v>279</v>
      </c>
      <c r="F16" s="96" t="s">
        <v>265</v>
      </c>
      <c r="G16" s="96" t="s">
        <v>193</v>
      </c>
      <c r="H16" s="168"/>
      <c r="I16" s="187"/>
    </row>
    <row r="17" spans="1:9" x14ac:dyDescent="0.25">
      <c r="A17" s="187"/>
      <c r="B17" s="166" t="s">
        <v>172</v>
      </c>
      <c r="C17" s="178" t="s">
        <v>29</v>
      </c>
      <c r="D17" s="167" t="s">
        <v>172</v>
      </c>
      <c r="E17" s="168" t="s">
        <v>280</v>
      </c>
      <c r="F17" s="96" t="s">
        <v>265</v>
      </c>
      <c r="G17" s="96" t="s">
        <v>193</v>
      </c>
      <c r="H17" s="168"/>
      <c r="I17" s="187"/>
    </row>
    <row r="18" spans="1:9" x14ac:dyDescent="0.25">
      <c r="A18" s="187"/>
      <c r="B18" s="169" t="s">
        <v>173</v>
      </c>
      <c r="C18" s="179" t="s">
        <v>32</v>
      </c>
      <c r="D18" s="170" t="s">
        <v>173</v>
      </c>
      <c r="E18" s="171" t="s">
        <v>198</v>
      </c>
      <c r="F18" s="172" t="s">
        <v>198</v>
      </c>
      <c r="G18" s="172" t="s">
        <v>198</v>
      </c>
      <c r="H18" s="171" t="s">
        <v>281</v>
      </c>
      <c r="I18" s="187"/>
    </row>
    <row r="19" spans="1:9" x14ac:dyDescent="0.25">
      <c r="A19" s="187"/>
      <c r="B19" s="169" t="s">
        <v>174</v>
      </c>
      <c r="C19" s="179" t="s">
        <v>32</v>
      </c>
      <c r="D19" s="170" t="s">
        <v>174</v>
      </c>
      <c r="E19" s="171" t="s">
        <v>198</v>
      </c>
      <c r="F19" s="172" t="s">
        <v>198</v>
      </c>
      <c r="G19" s="172" t="s">
        <v>198</v>
      </c>
      <c r="H19" s="171" t="s">
        <v>281</v>
      </c>
      <c r="I19" s="187"/>
    </row>
    <row r="20" spans="1:9" x14ac:dyDescent="0.25">
      <c r="A20" s="187"/>
      <c r="B20" s="182"/>
      <c r="C20" s="183"/>
      <c r="D20" s="182"/>
      <c r="E20" s="182"/>
      <c r="F20" s="182"/>
      <c r="G20" s="182"/>
      <c r="H20" s="182"/>
      <c r="I20" s="187"/>
    </row>
    <row r="21" spans="1:9" x14ac:dyDescent="0.25">
      <c r="A21" s="187"/>
      <c r="B21" s="173" t="s">
        <v>282</v>
      </c>
      <c r="C21" s="180"/>
      <c r="D21" s="174"/>
      <c r="E21" s="174"/>
      <c r="F21" s="182"/>
      <c r="G21" s="182"/>
      <c r="H21" s="182"/>
      <c r="I21" s="187"/>
    </row>
    <row r="22" spans="1:9" x14ac:dyDescent="0.25">
      <c r="A22" s="187"/>
      <c r="B22" s="182"/>
      <c r="C22" s="183"/>
      <c r="D22" s="182"/>
      <c r="E22" s="182"/>
      <c r="F22" s="182"/>
      <c r="G22" s="182"/>
      <c r="H22" s="182"/>
      <c r="I22" s="187"/>
    </row>
    <row r="23" spans="1:9" x14ac:dyDescent="0.25">
      <c r="A23" s="187"/>
      <c r="B23" s="182"/>
      <c r="C23" s="183"/>
      <c r="D23" s="182"/>
      <c r="E23" s="182"/>
      <c r="F23" s="182"/>
      <c r="G23" s="182"/>
      <c r="H23" s="182"/>
      <c r="I23" s="187"/>
    </row>
    <row r="24" spans="1:9" x14ac:dyDescent="0.25">
      <c r="A24" s="187"/>
      <c r="B24" s="182"/>
      <c r="C24" s="183"/>
      <c r="D24" s="182"/>
      <c r="E24" s="182"/>
      <c r="F24" s="182"/>
      <c r="G24" s="182"/>
      <c r="H24" s="182"/>
      <c r="I24" s="187"/>
    </row>
    <row r="25" spans="1:9" x14ac:dyDescent="0.25">
      <c r="A25" s="187"/>
      <c r="B25" s="182"/>
      <c r="C25" s="183"/>
      <c r="D25" s="182"/>
      <c r="E25" s="182"/>
      <c r="F25" s="182"/>
      <c r="G25" s="182"/>
      <c r="H25" s="182"/>
      <c r="I25" s="187"/>
    </row>
    <row r="26" spans="1:9" x14ac:dyDescent="0.25">
      <c r="A26" s="187"/>
      <c r="B26" s="182"/>
      <c r="C26" s="183"/>
      <c r="D26" s="182"/>
      <c r="E26" s="182"/>
      <c r="F26" s="182"/>
      <c r="G26" s="182"/>
      <c r="H26" s="182"/>
      <c r="I26" s="187"/>
    </row>
    <row r="27" spans="1:9" x14ac:dyDescent="0.25">
      <c r="A27" s="187"/>
      <c r="B27" s="182"/>
      <c r="C27" s="183"/>
      <c r="D27" s="182"/>
      <c r="E27" s="182"/>
      <c r="F27" s="182"/>
      <c r="G27" s="182"/>
      <c r="H27" s="182"/>
      <c r="I27" s="187"/>
    </row>
    <row r="28" spans="1:9" x14ac:dyDescent="0.25">
      <c r="A28" s="187"/>
      <c r="B28" s="182"/>
      <c r="C28" s="183"/>
      <c r="D28" s="182"/>
      <c r="E28" s="182"/>
      <c r="F28" s="182"/>
      <c r="G28" s="182"/>
      <c r="H28" s="182"/>
      <c r="I28" s="187"/>
    </row>
    <row r="29" spans="1:9" x14ac:dyDescent="0.25">
      <c r="A29" s="187"/>
      <c r="B29" s="182"/>
      <c r="C29" s="183"/>
      <c r="D29" s="182"/>
      <c r="E29" s="182"/>
      <c r="F29" s="182"/>
      <c r="G29" s="182"/>
      <c r="H29" s="182"/>
      <c r="I29" s="187"/>
    </row>
    <row r="30" spans="1:9" x14ac:dyDescent="0.25">
      <c r="A30" s="187"/>
      <c r="B30" s="182"/>
      <c r="C30" s="183"/>
      <c r="D30" s="182"/>
      <c r="E30" s="182"/>
      <c r="F30" s="182"/>
      <c r="G30" s="182"/>
      <c r="H30" s="182"/>
      <c r="I30" s="187"/>
    </row>
    <row r="31" spans="1:9" x14ac:dyDescent="0.25">
      <c r="A31" s="187"/>
      <c r="B31" s="182"/>
      <c r="C31" s="183"/>
      <c r="D31" s="182"/>
      <c r="E31" s="182"/>
      <c r="F31" s="182"/>
      <c r="G31" s="182"/>
      <c r="H31" s="182"/>
      <c r="I31" s="187"/>
    </row>
    <row r="32" spans="1:9" x14ac:dyDescent="0.25">
      <c r="A32" s="187"/>
      <c r="B32" s="182"/>
      <c r="C32" s="183"/>
      <c r="D32" s="182"/>
      <c r="E32" s="182"/>
      <c r="F32" s="182"/>
      <c r="G32" s="182"/>
      <c r="H32" s="182"/>
      <c r="I32" s="187"/>
    </row>
    <row r="33" spans="1:9" x14ac:dyDescent="0.25">
      <c r="A33" s="187"/>
      <c r="B33" s="182"/>
      <c r="C33" s="183"/>
      <c r="D33" s="182"/>
      <c r="E33" s="182"/>
      <c r="F33" s="182"/>
      <c r="G33" s="182"/>
      <c r="H33" s="182"/>
      <c r="I33" s="187"/>
    </row>
    <row r="34" spans="1:9" x14ac:dyDescent="0.25">
      <c r="A34" s="187"/>
      <c r="B34" s="182"/>
      <c r="C34" s="183"/>
      <c r="D34" s="182"/>
      <c r="E34" s="182"/>
      <c r="F34" s="182"/>
      <c r="G34" s="182"/>
      <c r="H34" s="182"/>
      <c r="I34" s="187"/>
    </row>
    <row r="35" spans="1:9" x14ac:dyDescent="0.25">
      <c r="A35" s="187"/>
      <c r="B35" s="182"/>
      <c r="C35" s="183"/>
      <c r="D35" s="182"/>
      <c r="E35" s="182"/>
      <c r="F35" s="182"/>
      <c r="G35" s="182"/>
      <c r="H35" s="182"/>
      <c r="I35" s="187"/>
    </row>
    <row r="36" spans="1:9" x14ac:dyDescent="0.25">
      <c r="A36" s="187"/>
      <c r="B36" s="182"/>
      <c r="C36" s="183"/>
      <c r="D36" s="182"/>
      <c r="E36" s="182"/>
      <c r="F36" s="182"/>
      <c r="G36" s="182"/>
      <c r="H36" s="182"/>
      <c r="I36" s="187"/>
    </row>
    <row r="37" spans="1:9" x14ac:dyDescent="0.25">
      <c r="A37" s="187"/>
      <c r="B37" s="182"/>
      <c r="C37" s="183"/>
      <c r="D37" s="182"/>
      <c r="E37" s="182"/>
      <c r="F37" s="182"/>
      <c r="G37" s="182"/>
      <c r="H37" s="182"/>
      <c r="I37" s="187"/>
    </row>
    <row r="38" spans="1:9" x14ac:dyDescent="0.25">
      <c r="A38" s="187"/>
      <c r="B38" s="182"/>
      <c r="C38" s="183"/>
      <c r="D38" s="182"/>
      <c r="E38" s="182"/>
      <c r="F38" s="182"/>
      <c r="G38" s="182"/>
      <c r="H38" s="182"/>
      <c r="I38" s="187"/>
    </row>
    <row r="39" spans="1:9" x14ac:dyDescent="0.25">
      <c r="A39" s="187"/>
      <c r="B39" s="182"/>
      <c r="C39" s="183"/>
      <c r="D39" s="182"/>
      <c r="E39" s="182"/>
      <c r="F39" s="182"/>
      <c r="G39" s="182"/>
      <c r="H39" s="182"/>
      <c r="I39" s="187"/>
    </row>
    <row r="40" spans="1:9" x14ac:dyDescent="0.25">
      <c r="A40" s="187"/>
      <c r="B40" s="182"/>
      <c r="C40" s="183"/>
      <c r="D40" s="182"/>
      <c r="E40" s="182"/>
      <c r="F40" s="182"/>
      <c r="G40" s="182"/>
      <c r="H40" s="182"/>
      <c r="I40" s="187"/>
    </row>
    <row r="41" spans="1:9" x14ac:dyDescent="0.25">
      <c r="A41" s="187"/>
      <c r="B41" s="182"/>
      <c r="C41" s="183"/>
      <c r="D41" s="182"/>
      <c r="E41" s="182"/>
      <c r="F41" s="182"/>
      <c r="G41" s="182"/>
      <c r="H41" s="182"/>
      <c r="I41" s="187"/>
    </row>
    <row r="42" spans="1:9" x14ac:dyDescent="0.25">
      <c r="A42" s="187"/>
      <c r="B42" s="182"/>
      <c r="C42" s="183"/>
      <c r="D42" s="182"/>
      <c r="E42" s="182"/>
      <c r="F42" s="182"/>
      <c r="G42" s="182"/>
      <c r="H42" s="182"/>
      <c r="I42" s="187"/>
    </row>
    <row r="43" spans="1:9" x14ac:dyDescent="0.25">
      <c r="A43" s="187"/>
      <c r="B43" s="182"/>
      <c r="C43" s="183"/>
      <c r="D43" s="182"/>
      <c r="E43" s="182"/>
      <c r="F43" s="182"/>
      <c r="G43" s="182"/>
      <c r="H43" s="182"/>
      <c r="I43" s="187"/>
    </row>
    <row r="44" spans="1:9" x14ac:dyDescent="0.25">
      <c r="A44" s="187"/>
      <c r="B44" s="182"/>
      <c r="C44" s="183"/>
      <c r="D44" s="182"/>
      <c r="E44" s="182"/>
      <c r="F44" s="182"/>
      <c r="G44" s="182"/>
      <c r="H44" s="182"/>
      <c r="I44" s="187"/>
    </row>
    <row r="45" spans="1:9" x14ac:dyDescent="0.25">
      <c r="A45" s="187"/>
      <c r="B45" s="182"/>
      <c r="C45" s="183"/>
      <c r="D45" s="182"/>
      <c r="E45" s="182"/>
      <c r="F45" s="182"/>
      <c r="G45" s="182"/>
      <c r="H45" s="182"/>
      <c r="I45" s="187"/>
    </row>
    <row r="46" spans="1:9" x14ac:dyDescent="0.25">
      <c r="A46" s="187"/>
      <c r="B46" s="182"/>
      <c r="C46" s="183"/>
      <c r="D46" s="182"/>
      <c r="E46" s="182"/>
      <c r="F46" s="182"/>
      <c r="G46" s="182"/>
      <c r="H46" s="182"/>
      <c r="I46" s="187"/>
    </row>
    <row r="47" spans="1:9" x14ac:dyDescent="0.25">
      <c r="A47" s="187"/>
      <c r="B47" s="182"/>
      <c r="C47" s="183"/>
      <c r="D47" s="182"/>
      <c r="E47" s="182"/>
      <c r="F47" s="182"/>
      <c r="G47" s="182"/>
      <c r="H47" s="182"/>
      <c r="I47" s="187"/>
    </row>
    <row r="48" spans="1:9" x14ac:dyDescent="0.25">
      <c r="A48" s="187"/>
      <c r="B48" s="182"/>
      <c r="C48" s="183"/>
      <c r="D48" s="182"/>
      <c r="E48" s="182"/>
      <c r="F48" s="182"/>
      <c r="G48" s="182"/>
      <c r="H48" s="182"/>
      <c r="I48" s="187"/>
    </row>
    <row r="49" spans="1:9" x14ac:dyDescent="0.25">
      <c r="A49" s="187"/>
      <c r="B49" s="182"/>
      <c r="C49" s="183"/>
      <c r="D49" s="182"/>
      <c r="E49" s="182"/>
      <c r="F49" s="182"/>
      <c r="G49" s="182"/>
      <c r="H49" s="182"/>
      <c r="I49" s="187"/>
    </row>
    <row r="50" spans="1:9" x14ac:dyDescent="0.25">
      <c r="A50" s="187"/>
      <c r="B50" s="182"/>
      <c r="C50" s="183"/>
      <c r="D50" s="182"/>
      <c r="E50" s="182"/>
      <c r="F50" s="182"/>
      <c r="G50" s="182"/>
      <c r="H50" s="182"/>
      <c r="I50" s="187"/>
    </row>
    <row r="51" spans="1:9" x14ac:dyDescent="0.25">
      <c r="A51" s="187"/>
      <c r="B51" s="182"/>
      <c r="C51" s="183"/>
      <c r="D51" s="182"/>
      <c r="E51" s="182"/>
      <c r="F51" s="182"/>
      <c r="G51" s="182"/>
      <c r="H51" s="182"/>
      <c r="I51" s="187"/>
    </row>
    <row r="52" spans="1:9" x14ac:dyDescent="0.25">
      <c r="A52" s="187"/>
      <c r="B52" s="182"/>
      <c r="C52" s="183"/>
      <c r="D52" s="182"/>
      <c r="E52" s="182"/>
      <c r="F52" s="182"/>
      <c r="G52" s="182"/>
      <c r="H52" s="182"/>
      <c r="I52" s="187"/>
    </row>
    <row r="53" spans="1:9" x14ac:dyDescent="0.25">
      <c r="A53" s="187"/>
      <c r="B53" s="182"/>
      <c r="C53" s="183"/>
      <c r="D53" s="182"/>
      <c r="E53" s="182"/>
      <c r="F53" s="182"/>
      <c r="G53" s="182"/>
      <c r="H53" s="182"/>
      <c r="I53" s="187"/>
    </row>
    <row r="54" spans="1:9" x14ac:dyDescent="0.25">
      <c r="A54" s="187"/>
      <c r="B54" s="182"/>
      <c r="C54" s="183"/>
      <c r="D54" s="182"/>
      <c r="E54" s="182"/>
      <c r="F54" s="182"/>
      <c r="G54" s="182"/>
      <c r="H54" s="182"/>
      <c r="I54" s="187"/>
    </row>
    <row r="55" spans="1:9" x14ac:dyDescent="0.25">
      <c r="A55" s="187"/>
      <c r="B55" s="182"/>
      <c r="C55" s="183"/>
      <c r="D55" s="182"/>
      <c r="E55" s="182"/>
      <c r="F55" s="182"/>
      <c r="G55" s="182"/>
      <c r="H55" s="182"/>
      <c r="I55" s="187"/>
    </row>
    <row r="56" spans="1:9" x14ac:dyDescent="0.25">
      <c r="A56" s="187"/>
      <c r="B56" s="182"/>
      <c r="C56" s="183"/>
      <c r="D56" s="182"/>
      <c r="E56" s="182"/>
      <c r="F56" s="182"/>
      <c r="G56" s="182"/>
      <c r="H56" s="182"/>
      <c r="I56" s="187"/>
    </row>
    <row r="57" spans="1:9" x14ac:dyDescent="0.25">
      <c r="A57" s="187"/>
      <c r="B57" s="182"/>
      <c r="C57" s="183"/>
      <c r="D57" s="182"/>
      <c r="E57" s="182"/>
      <c r="F57" s="182"/>
      <c r="G57" s="182"/>
      <c r="H57" s="182"/>
      <c r="I57" s="187"/>
    </row>
    <row r="58" spans="1:9" x14ac:dyDescent="0.25">
      <c r="A58" s="187"/>
      <c r="B58" s="182"/>
      <c r="C58" s="183"/>
      <c r="D58" s="182"/>
      <c r="E58" s="182"/>
      <c r="F58" s="182"/>
      <c r="G58" s="182"/>
      <c r="H58" s="182"/>
      <c r="I58" s="187"/>
    </row>
  </sheetData>
  <mergeCells count="7">
    <mergeCell ref="B10:B11"/>
    <mergeCell ref="C10:D10"/>
    <mergeCell ref="D2:H2"/>
    <mergeCell ref="H10:H11"/>
    <mergeCell ref="G10:G11"/>
    <mergeCell ref="F10:F11"/>
    <mergeCell ref="E10:E1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D15"/>
  <sheetViews>
    <sheetView zoomScale="115" zoomScaleNormal="115" workbookViewId="0"/>
  </sheetViews>
  <sheetFormatPr defaultColWidth="11" defaultRowHeight="14.25" x14ac:dyDescent="0.2"/>
  <cols>
    <col min="1" max="1" width="4.625" style="1" customWidth="1"/>
    <col min="2" max="2" width="22.75" style="45" customWidth="1"/>
    <col min="3" max="3" width="10.125" style="45" customWidth="1"/>
    <col min="4" max="4" width="32.25" style="45" customWidth="1"/>
    <col min="5" max="5" width="7.625" style="45" hidden="1" customWidth="1"/>
    <col min="6" max="6" width="10.75" style="45" hidden="1" customWidth="1"/>
    <col min="7" max="7" width="12.125" style="45" customWidth="1"/>
    <col min="8" max="8" width="10" style="46" customWidth="1"/>
    <col min="9" max="10" width="7.75" style="46" customWidth="1"/>
    <col min="11" max="11" width="10" style="46" customWidth="1"/>
    <col min="12" max="12" width="22.875" style="45" customWidth="1"/>
    <col min="13" max="13" width="11.125" style="46" customWidth="1"/>
    <col min="14" max="14" width="8.625" style="46" customWidth="1"/>
    <col min="15" max="15" width="14.125" style="68" customWidth="1"/>
    <col min="16" max="16" width="11" style="63"/>
    <col min="17" max="17" width="35" style="63" customWidth="1"/>
    <col min="18" max="18" width="11" style="63"/>
  </cols>
  <sheetData>
    <row r="1" spans="1:30" x14ac:dyDescent="0.2">
      <c r="B1" s="19"/>
      <c r="C1" s="19"/>
      <c r="D1" s="19"/>
      <c r="E1" s="19"/>
      <c r="F1" s="19"/>
      <c r="G1" s="19"/>
      <c r="H1" s="20"/>
      <c r="I1" s="20"/>
      <c r="J1" s="20"/>
      <c r="K1" s="20"/>
      <c r="L1" s="19"/>
      <c r="M1" s="20"/>
      <c r="N1" s="20"/>
      <c r="O1" s="67"/>
    </row>
    <row r="2" spans="1:30" s="9" customFormat="1" ht="23.85" customHeight="1" x14ac:dyDescent="0.2">
      <c r="A2" s="8"/>
      <c r="B2" s="18" t="s">
        <v>175</v>
      </c>
      <c r="C2" s="18"/>
      <c r="D2" s="442" t="s">
        <v>184</v>
      </c>
      <c r="E2" s="442"/>
      <c r="F2" s="442"/>
      <c r="G2" s="442"/>
      <c r="H2" s="442"/>
      <c r="I2" s="442"/>
      <c r="J2" s="442"/>
      <c r="K2" s="442"/>
      <c r="L2" s="442"/>
      <c r="M2" s="110"/>
      <c r="N2" s="20"/>
      <c r="O2" s="67"/>
      <c r="P2" s="45"/>
      <c r="Q2" s="45"/>
      <c r="R2" s="45"/>
    </row>
    <row r="3" spans="1:30" s="9" customFormat="1" x14ac:dyDescent="0.2">
      <c r="A3" s="8"/>
      <c r="B3" s="18" t="s">
        <v>176</v>
      </c>
      <c r="C3" s="21"/>
      <c r="D3" s="21" t="s">
        <v>185</v>
      </c>
      <c r="E3" s="21"/>
      <c r="F3" s="21"/>
      <c r="G3" s="21"/>
      <c r="H3" s="110"/>
      <c r="I3" s="110"/>
      <c r="J3" s="110"/>
      <c r="K3" s="110"/>
      <c r="L3" s="21"/>
      <c r="M3" s="110"/>
      <c r="N3" s="20"/>
      <c r="O3" s="67"/>
      <c r="P3" s="45"/>
      <c r="Q3" s="45"/>
      <c r="R3" s="45"/>
    </row>
    <row r="4" spans="1:30" s="9" customFormat="1" x14ac:dyDescent="0.2">
      <c r="A4" s="8"/>
      <c r="B4" s="18" t="s">
        <v>177</v>
      </c>
      <c r="C4" s="21"/>
      <c r="D4" s="21" t="s">
        <v>189</v>
      </c>
      <c r="E4" s="21"/>
      <c r="F4" s="21"/>
      <c r="G4" s="21"/>
      <c r="H4" s="110"/>
      <c r="I4" s="110"/>
      <c r="J4" s="110"/>
      <c r="K4" s="110"/>
      <c r="L4" s="21"/>
      <c r="M4" s="110"/>
      <c r="N4" s="20"/>
      <c r="O4" s="67"/>
      <c r="P4" s="45"/>
      <c r="Q4" s="45"/>
      <c r="R4" s="45"/>
    </row>
    <row r="5" spans="1:30" s="9" customFormat="1" x14ac:dyDescent="0.2">
      <c r="A5" s="8"/>
      <c r="B5" s="18" t="s">
        <v>178</v>
      </c>
      <c r="C5" s="21"/>
      <c r="D5" s="21" t="s">
        <v>186</v>
      </c>
      <c r="E5" s="21"/>
      <c r="F5" s="21"/>
      <c r="G5" s="21"/>
      <c r="H5" s="110"/>
      <c r="I5" s="110"/>
      <c r="J5" s="110"/>
      <c r="K5" s="110"/>
      <c r="L5" s="21"/>
      <c r="M5" s="110"/>
      <c r="N5" s="20"/>
      <c r="O5" s="67"/>
      <c r="P5" s="45"/>
      <c r="Q5" s="45"/>
      <c r="R5" s="45"/>
    </row>
    <row r="6" spans="1:30" s="9" customFormat="1" x14ac:dyDescent="0.2">
      <c r="A6" s="8"/>
      <c r="B6" s="18" t="s">
        <v>179</v>
      </c>
      <c r="C6" s="21"/>
      <c r="D6" s="21" t="s">
        <v>188</v>
      </c>
      <c r="E6" s="21"/>
      <c r="F6" s="21"/>
      <c r="G6" s="21"/>
      <c r="H6" s="110"/>
      <c r="I6" s="110"/>
      <c r="J6" s="110"/>
      <c r="K6" s="110"/>
      <c r="L6" s="21"/>
      <c r="M6" s="110"/>
      <c r="N6" s="20"/>
      <c r="O6" s="67"/>
      <c r="P6" s="64"/>
      <c r="Q6" s="45"/>
      <c r="R6" s="45"/>
    </row>
    <row r="7" spans="1:30" s="9" customFormat="1" x14ac:dyDescent="0.2">
      <c r="A7" s="8"/>
      <c r="B7" s="18" t="s">
        <v>180</v>
      </c>
      <c r="C7" s="21"/>
      <c r="D7" s="21" t="s">
        <v>181</v>
      </c>
      <c r="E7" s="21"/>
      <c r="F7" s="21"/>
      <c r="G7" s="21"/>
      <c r="H7" s="110"/>
      <c r="I7" s="110"/>
      <c r="J7" s="110"/>
      <c r="K7" s="110"/>
      <c r="L7" s="21"/>
      <c r="M7" s="110"/>
      <c r="N7" s="20"/>
      <c r="O7" s="67"/>
      <c r="P7" s="64"/>
      <c r="Q7" s="64"/>
      <c r="R7" s="64"/>
      <c r="S7" s="17"/>
      <c r="T7" s="17"/>
      <c r="U7" s="17"/>
      <c r="V7" s="17"/>
    </row>
    <row r="8" spans="1:30" s="9" customFormat="1" x14ac:dyDescent="0.2">
      <c r="A8" s="8"/>
      <c r="B8" s="18" t="s">
        <v>183</v>
      </c>
      <c r="C8" s="21"/>
      <c r="D8" s="21" t="s">
        <v>187</v>
      </c>
      <c r="E8" s="21"/>
      <c r="F8" s="21"/>
      <c r="G8" s="21"/>
      <c r="H8" s="110"/>
      <c r="I8" s="110"/>
      <c r="J8" s="110"/>
      <c r="K8" s="110"/>
      <c r="L8" s="21"/>
      <c r="M8" s="110"/>
      <c r="N8" s="20"/>
      <c r="O8" s="67"/>
      <c r="P8" s="64"/>
      <c r="Q8" s="13"/>
      <c r="R8" s="64"/>
      <c r="S8" s="17"/>
      <c r="T8" s="17"/>
      <c r="U8" s="17"/>
      <c r="V8" s="17"/>
    </row>
    <row r="9" spans="1:30" x14ac:dyDescent="0.2">
      <c r="B9" s="19"/>
      <c r="C9" s="19"/>
      <c r="D9" s="19"/>
      <c r="E9" s="19"/>
      <c r="F9" s="19"/>
      <c r="G9" s="19"/>
      <c r="H9" s="20"/>
      <c r="I9" s="20"/>
      <c r="J9" s="20"/>
      <c r="K9" s="20"/>
      <c r="L9" s="19"/>
      <c r="M9" s="20"/>
      <c r="N9" s="20"/>
      <c r="O9" s="67"/>
      <c r="P9" s="65"/>
      <c r="Q9" s="66"/>
      <c r="R9" s="65"/>
      <c r="S9" s="2"/>
      <c r="T9" s="2"/>
      <c r="U9" s="2"/>
      <c r="V9" s="2"/>
    </row>
    <row r="10" spans="1:30" ht="15" customHeight="1" x14ac:dyDescent="0.2">
      <c r="B10" s="426" t="s">
        <v>0</v>
      </c>
      <c r="C10" s="426" t="s">
        <v>255</v>
      </c>
      <c r="D10" s="426" t="s">
        <v>283</v>
      </c>
      <c r="E10" s="426" t="s">
        <v>1</v>
      </c>
      <c r="F10" s="426" t="s">
        <v>2</v>
      </c>
      <c r="G10" s="426" t="s">
        <v>261</v>
      </c>
      <c r="H10" s="443" t="s">
        <v>190</v>
      </c>
      <c r="I10" s="444"/>
      <c r="J10" s="444"/>
      <c r="K10" s="445"/>
      <c r="L10" s="426" t="s">
        <v>182</v>
      </c>
      <c r="M10" s="426" t="s">
        <v>256</v>
      </c>
      <c r="N10" s="426" t="s">
        <v>266</v>
      </c>
      <c r="O10" s="426" t="s">
        <v>257</v>
      </c>
      <c r="P10" s="65"/>
      <c r="Q10" s="66"/>
      <c r="R10" s="65"/>
      <c r="S10" s="2"/>
      <c r="T10" s="2"/>
      <c r="U10" s="2"/>
      <c r="V10" s="2"/>
    </row>
    <row r="11" spans="1:30" ht="15" customHeight="1" x14ac:dyDescent="0.2">
      <c r="B11" s="430"/>
      <c r="C11" s="430"/>
      <c r="D11" s="430"/>
      <c r="E11" s="430"/>
      <c r="F11" s="430"/>
      <c r="G11" s="430"/>
      <c r="H11" s="23" t="s">
        <v>161</v>
      </c>
      <c r="I11" s="437" t="s">
        <v>162</v>
      </c>
      <c r="J11" s="438"/>
      <c r="K11" s="23" t="s">
        <v>163</v>
      </c>
      <c r="L11" s="430"/>
      <c r="M11" s="430"/>
      <c r="N11" s="430"/>
      <c r="O11" s="430"/>
      <c r="P11" s="65"/>
      <c r="Q11" s="66"/>
      <c r="R11" s="65"/>
      <c r="S11" s="2"/>
      <c r="T11" s="2"/>
      <c r="U11" s="2"/>
      <c r="V11" s="2"/>
    </row>
    <row r="12" spans="1:30" ht="33.950000000000003" customHeight="1" x14ac:dyDescent="0.2">
      <c r="B12" s="427"/>
      <c r="C12" s="427"/>
      <c r="D12" s="427"/>
      <c r="E12" s="427"/>
      <c r="F12" s="427"/>
      <c r="G12" s="427"/>
      <c r="H12" s="24" t="s">
        <v>164</v>
      </c>
      <c r="I12" s="24" t="s">
        <v>165</v>
      </c>
      <c r="J12" s="24" t="s">
        <v>166</v>
      </c>
      <c r="K12" s="24" t="s">
        <v>167</v>
      </c>
      <c r="L12" s="427"/>
      <c r="M12" s="427"/>
      <c r="N12" s="427"/>
      <c r="O12" s="427"/>
      <c r="P12" s="65"/>
    </row>
    <row r="13" spans="1:30" s="1" customFormat="1" x14ac:dyDescent="0.2">
      <c r="B13" s="55" t="s">
        <v>124</v>
      </c>
      <c r="C13" s="56"/>
      <c r="D13" s="56"/>
      <c r="E13" s="56"/>
      <c r="F13" s="56"/>
      <c r="G13" s="56"/>
      <c r="H13" s="120"/>
      <c r="I13" s="120"/>
      <c r="J13" s="120"/>
      <c r="K13" s="120"/>
      <c r="L13" s="56"/>
      <c r="M13" s="120"/>
      <c r="N13" s="120"/>
      <c r="O13" s="136"/>
      <c r="P13" s="65"/>
      <c r="Q13" s="63"/>
      <c r="R13" s="63"/>
      <c r="S13"/>
      <c r="T13"/>
      <c r="U13"/>
      <c r="V13"/>
      <c r="W13"/>
      <c r="X13"/>
      <c r="Y13"/>
      <c r="Z13"/>
      <c r="AA13"/>
      <c r="AB13"/>
      <c r="AC13"/>
      <c r="AD13"/>
    </row>
    <row r="14" spans="1:30" s="1" customFormat="1" x14ac:dyDescent="0.2">
      <c r="B14" s="31" t="s">
        <v>103</v>
      </c>
      <c r="C14" s="50" t="s">
        <v>32</v>
      </c>
      <c r="D14" s="31" t="s">
        <v>38</v>
      </c>
      <c r="E14" s="33" t="s">
        <v>19</v>
      </c>
      <c r="F14" s="50">
        <v>2011</v>
      </c>
      <c r="G14" s="32" t="s">
        <v>267</v>
      </c>
      <c r="H14" s="50">
        <v>6.9</v>
      </c>
      <c r="I14" s="50">
        <v>11.7</v>
      </c>
      <c r="J14" s="50">
        <v>11.6</v>
      </c>
      <c r="K14" s="50">
        <v>9.6</v>
      </c>
      <c r="L14" s="31" t="s">
        <v>38</v>
      </c>
      <c r="M14" s="32" t="s">
        <v>265</v>
      </c>
      <c r="N14" s="32" t="s">
        <v>193</v>
      </c>
      <c r="O14" s="51"/>
      <c r="P14" s="65"/>
      <c r="Q14" s="63"/>
      <c r="R14" s="63"/>
      <c r="S14"/>
      <c r="T14"/>
      <c r="U14"/>
      <c r="V14"/>
      <c r="W14"/>
      <c r="X14"/>
      <c r="Y14"/>
      <c r="Z14"/>
      <c r="AA14"/>
      <c r="AB14"/>
      <c r="AC14"/>
      <c r="AD14"/>
    </row>
    <row r="15" spans="1:30" x14ac:dyDescent="0.2">
      <c r="P15" s="65"/>
    </row>
  </sheetData>
  <mergeCells count="13">
    <mergeCell ref="B10:B12"/>
    <mergeCell ref="D10:D12"/>
    <mergeCell ref="E10:E12"/>
    <mergeCell ref="F10:F12"/>
    <mergeCell ref="M10:M12"/>
    <mergeCell ref="L10:L12"/>
    <mergeCell ref="D2:L2"/>
    <mergeCell ref="N10:N12"/>
    <mergeCell ref="O10:O12"/>
    <mergeCell ref="C10:C12"/>
    <mergeCell ref="G10:G12"/>
    <mergeCell ref="H10:K10"/>
    <mergeCell ref="I11:J11"/>
  </mergeCells>
  <pageMargins left="0.7" right="0.7" top="0.78740157499999996" bottom="0.78740157499999996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N68"/>
  <sheetViews>
    <sheetView zoomScale="115" zoomScaleNormal="115" workbookViewId="0">
      <pane xSplit="6" ySplit="12" topLeftCell="G24" activePane="bottomRight" state="frozen"/>
      <selection pane="topRight" activeCell="G1" sqref="G1"/>
      <selection pane="bottomLeft" activeCell="A13" sqref="A13"/>
      <selection pane="bottomRight"/>
    </sheetView>
  </sheetViews>
  <sheetFormatPr defaultColWidth="11" defaultRowHeight="14.25" x14ac:dyDescent="0.2"/>
  <cols>
    <col min="1" max="1" width="3.375" style="1" customWidth="1"/>
    <col min="2" max="2" width="23" style="45" customWidth="1"/>
    <col min="3" max="3" width="10.125" style="45" customWidth="1"/>
    <col min="4" max="4" width="41.375" style="45" customWidth="1"/>
    <col min="5" max="5" width="10.375" style="45" hidden="1" customWidth="1"/>
    <col min="6" max="6" width="8.625" style="45" hidden="1" customWidth="1"/>
    <col min="7" max="7" width="12.125" style="45" customWidth="1"/>
    <col min="8" max="8" width="10" style="46" customWidth="1"/>
    <col min="9" max="10" width="7.75" style="46" customWidth="1"/>
    <col min="11" max="11" width="10" style="46" customWidth="1"/>
    <col min="12" max="12" width="36.25" style="45" customWidth="1"/>
    <col min="13" max="13" width="11.125" style="46" customWidth="1"/>
    <col min="14" max="14" width="8.625" style="46" customWidth="1"/>
    <col min="15" max="15" width="50.125" style="68" customWidth="1"/>
    <col min="16" max="16" width="11" style="45" hidden="1" customWidth="1"/>
    <col min="17" max="17" width="10.625" style="46" hidden="1" customWidth="1"/>
    <col min="18" max="18" width="8.625" style="47" hidden="1" customWidth="1"/>
    <col min="19" max="20" width="10.625" style="47" hidden="1" customWidth="1"/>
    <col min="21" max="22" width="8.625" style="46" hidden="1" customWidth="1"/>
    <col min="23" max="23" width="11.625" style="47" hidden="1" customWidth="1"/>
    <col min="24" max="24" width="8.625" style="46" hidden="1" customWidth="1"/>
    <col min="25" max="25" width="4" style="6" hidden="1" customWidth="1"/>
    <col min="26" max="26" width="11" style="63"/>
    <col min="27" max="27" width="35" style="63" customWidth="1"/>
    <col min="28" max="28" width="11" style="63"/>
  </cols>
  <sheetData>
    <row r="1" spans="1:40" x14ac:dyDescent="0.2">
      <c r="B1" s="19"/>
      <c r="C1" s="19"/>
      <c r="D1" s="19"/>
      <c r="E1" s="19"/>
      <c r="F1" s="19"/>
      <c r="G1" s="19"/>
      <c r="H1" s="20"/>
      <c r="I1" s="20"/>
      <c r="J1" s="20"/>
      <c r="K1" s="20"/>
      <c r="L1" s="19"/>
      <c r="M1" s="20"/>
      <c r="N1" s="20"/>
      <c r="O1" s="67"/>
      <c r="P1" s="19"/>
      <c r="Q1" s="20"/>
      <c r="R1" s="20"/>
      <c r="S1" s="20"/>
      <c r="T1" s="20"/>
      <c r="U1" s="20"/>
      <c r="V1" s="20"/>
      <c r="W1" s="20"/>
      <c r="X1" s="20"/>
    </row>
    <row r="2" spans="1:40" s="9" customFormat="1" ht="23.85" customHeight="1" x14ac:dyDescent="0.2">
      <c r="A2" s="8"/>
      <c r="B2" s="18" t="s">
        <v>175</v>
      </c>
      <c r="C2" s="18"/>
      <c r="D2" s="442" t="s">
        <v>184</v>
      </c>
      <c r="E2" s="442"/>
      <c r="F2" s="442"/>
      <c r="G2" s="442"/>
      <c r="H2" s="442"/>
      <c r="I2" s="442"/>
      <c r="J2" s="442"/>
      <c r="K2" s="442"/>
      <c r="L2" s="442"/>
      <c r="M2" s="110"/>
      <c r="N2" s="20"/>
      <c r="O2" s="67"/>
      <c r="P2" s="19"/>
      <c r="Q2" s="20"/>
      <c r="R2" s="20"/>
      <c r="S2" s="20"/>
      <c r="T2" s="20"/>
      <c r="U2" s="20"/>
      <c r="V2" s="20"/>
      <c r="W2" s="20"/>
      <c r="X2" s="20"/>
      <c r="Y2" s="19"/>
      <c r="Z2" s="45"/>
      <c r="AA2" s="45"/>
      <c r="AB2" s="45"/>
    </row>
    <row r="3" spans="1:40" s="9" customFormat="1" x14ac:dyDescent="0.2">
      <c r="A3" s="8"/>
      <c r="B3" s="18" t="s">
        <v>176</v>
      </c>
      <c r="C3" s="21"/>
      <c r="D3" s="21" t="s">
        <v>185</v>
      </c>
      <c r="E3" s="21"/>
      <c r="F3" s="21"/>
      <c r="G3" s="21"/>
      <c r="H3" s="110"/>
      <c r="I3" s="110"/>
      <c r="J3" s="110"/>
      <c r="K3" s="110"/>
      <c r="L3" s="21"/>
      <c r="M3" s="110"/>
      <c r="N3" s="20"/>
      <c r="O3" s="67"/>
      <c r="P3" s="19"/>
      <c r="Q3" s="20"/>
      <c r="R3" s="20"/>
      <c r="S3" s="20"/>
      <c r="T3" s="20"/>
      <c r="U3" s="20"/>
      <c r="V3" s="20"/>
      <c r="W3" s="20"/>
      <c r="X3" s="20"/>
      <c r="Y3" s="19"/>
      <c r="Z3" s="45"/>
      <c r="AA3" s="45"/>
      <c r="AB3" s="45"/>
    </row>
    <row r="4" spans="1:40" s="9" customFormat="1" x14ac:dyDescent="0.2">
      <c r="A4" s="8"/>
      <c r="B4" s="18" t="s">
        <v>177</v>
      </c>
      <c r="C4" s="21"/>
      <c r="D4" s="21" t="s">
        <v>189</v>
      </c>
      <c r="E4" s="21"/>
      <c r="F4" s="21"/>
      <c r="G4" s="21"/>
      <c r="H4" s="110"/>
      <c r="I4" s="110"/>
      <c r="J4" s="110"/>
      <c r="K4" s="110"/>
      <c r="L4" s="21"/>
      <c r="M4" s="110"/>
      <c r="N4" s="20"/>
      <c r="O4" s="67"/>
      <c r="P4" s="19"/>
      <c r="Q4" s="20"/>
      <c r="R4" s="20"/>
      <c r="S4" s="20"/>
      <c r="T4" s="20"/>
      <c r="U4" s="20"/>
      <c r="V4" s="20"/>
      <c r="W4" s="20"/>
      <c r="X4" s="20"/>
      <c r="Y4" s="19"/>
      <c r="Z4" s="45"/>
      <c r="AA4" s="45"/>
      <c r="AB4" s="45"/>
    </row>
    <row r="5" spans="1:40" s="9" customFormat="1" x14ac:dyDescent="0.2">
      <c r="A5" s="8"/>
      <c r="B5" s="18" t="s">
        <v>178</v>
      </c>
      <c r="C5" s="21"/>
      <c r="D5" s="21" t="s">
        <v>186</v>
      </c>
      <c r="E5" s="21"/>
      <c r="F5" s="21"/>
      <c r="G5" s="21"/>
      <c r="H5" s="110"/>
      <c r="I5" s="110"/>
      <c r="J5" s="110"/>
      <c r="K5" s="110"/>
      <c r="L5" s="21"/>
      <c r="M5" s="110"/>
      <c r="N5" s="20"/>
      <c r="O5" s="67"/>
      <c r="P5" s="19"/>
      <c r="Q5" s="20"/>
      <c r="R5" s="20"/>
      <c r="S5" s="20"/>
      <c r="T5" s="20"/>
      <c r="U5" s="20"/>
      <c r="V5" s="20"/>
      <c r="W5" s="20"/>
      <c r="X5" s="20"/>
      <c r="Y5" s="19"/>
      <c r="Z5" s="45"/>
      <c r="AA5" s="45"/>
      <c r="AB5" s="45"/>
    </row>
    <row r="6" spans="1:40" s="9" customFormat="1" x14ac:dyDescent="0.2">
      <c r="A6" s="8"/>
      <c r="B6" s="18" t="s">
        <v>179</v>
      </c>
      <c r="C6" s="21"/>
      <c r="D6" s="21" t="s">
        <v>188</v>
      </c>
      <c r="E6" s="21"/>
      <c r="F6" s="21"/>
      <c r="G6" s="21"/>
      <c r="H6" s="110"/>
      <c r="I6" s="110"/>
      <c r="J6" s="110"/>
      <c r="K6" s="110"/>
      <c r="L6" s="21"/>
      <c r="M6" s="110"/>
      <c r="N6" s="20"/>
      <c r="O6" s="67"/>
      <c r="P6" s="19"/>
      <c r="Q6" s="20"/>
      <c r="R6" s="20"/>
      <c r="S6" s="20"/>
      <c r="T6" s="20"/>
      <c r="U6" s="20"/>
      <c r="V6" s="20"/>
      <c r="W6" s="20"/>
      <c r="X6" s="20"/>
      <c r="Y6" s="19"/>
      <c r="Z6" s="64"/>
      <c r="AA6" s="45"/>
      <c r="AB6" s="45"/>
    </row>
    <row r="7" spans="1:40" s="9" customFormat="1" x14ac:dyDescent="0.2">
      <c r="A7" s="8"/>
      <c r="B7" s="18" t="s">
        <v>180</v>
      </c>
      <c r="C7" s="21"/>
      <c r="D7" s="21" t="s">
        <v>181</v>
      </c>
      <c r="E7" s="21"/>
      <c r="F7" s="21"/>
      <c r="G7" s="21"/>
      <c r="H7" s="110"/>
      <c r="I7" s="110"/>
      <c r="J7" s="110"/>
      <c r="K7" s="110"/>
      <c r="L7" s="21"/>
      <c r="M7" s="110"/>
      <c r="N7" s="20"/>
      <c r="O7" s="67"/>
      <c r="P7" s="19"/>
      <c r="Q7" s="20"/>
      <c r="R7" s="20"/>
      <c r="S7" s="20"/>
      <c r="T7" s="20"/>
      <c r="U7" s="20"/>
      <c r="V7" s="20"/>
      <c r="W7" s="20"/>
      <c r="X7" s="20"/>
      <c r="Y7" s="19"/>
      <c r="Z7" s="64"/>
      <c r="AA7" s="64"/>
      <c r="AB7" s="64"/>
      <c r="AC7" s="17"/>
      <c r="AD7" s="17"/>
      <c r="AE7" s="17"/>
      <c r="AF7" s="17"/>
    </row>
    <row r="8" spans="1:40" s="9" customFormat="1" x14ac:dyDescent="0.2">
      <c r="A8" s="8"/>
      <c r="B8" s="18" t="s">
        <v>183</v>
      </c>
      <c r="C8" s="21"/>
      <c r="D8" s="21" t="s">
        <v>187</v>
      </c>
      <c r="E8" s="21"/>
      <c r="F8" s="21"/>
      <c r="G8" s="21"/>
      <c r="H8" s="110"/>
      <c r="I8" s="110"/>
      <c r="J8" s="110"/>
      <c r="K8" s="110"/>
      <c r="L8" s="21"/>
      <c r="M8" s="110"/>
      <c r="N8" s="20"/>
      <c r="O8" s="67"/>
      <c r="P8" s="19"/>
      <c r="Q8" s="20"/>
      <c r="R8" s="20"/>
      <c r="S8" s="20"/>
      <c r="T8" s="20"/>
      <c r="U8" s="20"/>
      <c r="V8" s="20"/>
      <c r="W8" s="20"/>
      <c r="X8" s="20"/>
      <c r="Y8" s="19"/>
      <c r="Z8" s="64"/>
      <c r="AA8" s="13"/>
      <c r="AB8" s="64"/>
      <c r="AC8" s="17"/>
      <c r="AD8" s="17"/>
      <c r="AE8" s="17"/>
      <c r="AF8" s="17"/>
    </row>
    <row r="9" spans="1:40" x14ac:dyDescent="0.2">
      <c r="B9" s="19"/>
      <c r="C9" s="19"/>
      <c r="D9" s="19"/>
      <c r="E9" s="19"/>
      <c r="F9" s="19"/>
      <c r="G9" s="19"/>
      <c r="H9" s="20"/>
      <c r="I9" s="20"/>
      <c r="J9" s="20"/>
      <c r="K9" s="20"/>
      <c r="L9" s="19"/>
      <c r="M9" s="20"/>
      <c r="N9" s="20"/>
      <c r="O9" s="67"/>
      <c r="P9" s="19"/>
      <c r="Q9" s="20"/>
      <c r="R9" s="20"/>
      <c r="S9" s="20"/>
      <c r="T9" s="20"/>
      <c r="U9" s="20"/>
      <c r="V9" s="20"/>
      <c r="W9" s="20"/>
      <c r="X9" s="20"/>
      <c r="Z9" s="65"/>
      <c r="AA9" s="66"/>
      <c r="AB9" s="65"/>
      <c r="AC9" s="2"/>
      <c r="AD9" s="2"/>
      <c r="AE9" s="2"/>
      <c r="AF9" s="2"/>
    </row>
    <row r="10" spans="1:40" ht="15" customHeight="1" x14ac:dyDescent="0.2">
      <c r="B10" s="426" t="s">
        <v>0</v>
      </c>
      <c r="C10" s="426" t="s">
        <v>255</v>
      </c>
      <c r="D10" s="426" t="s">
        <v>283</v>
      </c>
      <c r="E10" s="426" t="s">
        <v>1</v>
      </c>
      <c r="F10" s="426" t="s">
        <v>2</v>
      </c>
      <c r="G10" s="426" t="s">
        <v>261</v>
      </c>
      <c r="H10" s="443" t="s">
        <v>190</v>
      </c>
      <c r="I10" s="444"/>
      <c r="J10" s="444"/>
      <c r="K10" s="445"/>
      <c r="L10" s="426" t="s">
        <v>182</v>
      </c>
      <c r="M10" s="426" t="s">
        <v>256</v>
      </c>
      <c r="N10" s="426" t="s">
        <v>266</v>
      </c>
      <c r="O10" s="431" t="s">
        <v>257</v>
      </c>
      <c r="P10" s="22" t="s">
        <v>3</v>
      </c>
      <c r="Q10" s="434" t="s">
        <v>4</v>
      </c>
      <c r="R10" s="435"/>
      <c r="S10" s="435"/>
      <c r="T10" s="435"/>
      <c r="U10" s="435"/>
      <c r="V10" s="435"/>
      <c r="W10" s="435"/>
      <c r="X10" s="436"/>
      <c r="Z10" s="65"/>
      <c r="AA10" s="66"/>
      <c r="AB10" s="65"/>
      <c r="AC10" s="2"/>
      <c r="AD10" s="2"/>
      <c r="AE10" s="2"/>
      <c r="AF10" s="2"/>
    </row>
    <row r="11" spans="1:40" ht="15" customHeight="1" x14ac:dyDescent="0.2">
      <c r="B11" s="430"/>
      <c r="C11" s="430"/>
      <c r="D11" s="430"/>
      <c r="E11" s="430"/>
      <c r="F11" s="430"/>
      <c r="G11" s="430"/>
      <c r="H11" s="23" t="s">
        <v>161</v>
      </c>
      <c r="I11" s="437" t="s">
        <v>162</v>
      </c>
      <c r="J11" s="438"/>
      <c r="K11" s="23" t="s">
        <v>163</v>
      </c>
      <c r="L11" s="430"/>
      <c r="M11" s="430"/>
      <c r="N11" s="430"/>
      <c r="O11" s="432"/>
      <c r="P11" s="22"/>
      <c r="Q11" s="439" t="s">
        <v>5</v>
      </c>
      <c r="R11" s="440"/>
      <c r="S11" s="441"/>
      <c r="T11" s="426" t="s">
        <v>6</v>
      </c>
      <c r="U11" s="426" t="s">
        <v>7</v>
      </c>
      <c r="V11" s="426" t="s">
        <v>8</v>
      </c>
      <c r="W11" s="426" t="s">
        <v>9</v>
      </c>
      <c r="X11" s="426" t="s">
        <v>10</v>
      </c>
      <c r="AA11" s="66"/>
      <c r="AB11" s="65"/>
      <c r="AC11" s="2"/>
      <c r="AD11" s="2"/>
      <c r="AE11" s="2"/>
      <c r="AF11" s="2"/>
    </row>
    <row r="12" spans="1:40" ht="33.950000000000003" customHeight="1" x14ac:dyDescent="0.2">
      <c r="B12" s="427"/>
      <c r="C12" s="427"/>
      <c r="D12" s="427"/>
      <c r="E12" s="427"/>
      <c r="F12" s="427"/>
      <c r="G12" s="427"/>
      <c r="H12" s="24" t="s">
        <v>164</v>
      </c>
      <c r="I12" s="24" t="s">
        <v>165</v>
      </c>
      <c r="J12" s="24" t="s">
        <v>166</v>
      </c>
      <c r="K12" s="24" t="s">
        <v>167</v>
      </c>
      <c r="L12" s="427"/>
      <c r="M12" s="427"/>
      <c r="N12" s="427"/>
      <c r="O12" s="433"/>
      <c r="P12" s="22"/>
      <c r="Q12" s="22" t="s">
        <v>11</v>
      </c>
      <c r="R12" s="22" t="s">
        <v>12</v>
      </c>
      <c r="S12" s="22" t="s">
        <v>13</v>
      </c>
      <c r="T12" s="427"/>
      <c r="U12" s="427"/>
      <c r="V12" s="427"/>
      <c r="W12" s="427"/>
      <c r="X12" s="427"/>
      <c r="Y12" s="65"/>
    </row>
    <row r="13" spans="1:40" s="1" customFormat="1" x14ac:dyDescent="0.2">
      <c r="B13" s="55" t="s">
        <v>125</v>
      </c>
      <c r="C13" s="56"/>
      <c r="D13" s="56"/>
      <c r="E13" s="56"/>
      <c r="F13" s="56"/>
      <c r="G13" s="56"/>
      <c r="H13" s="120"/>
      <c r="I13" s="120"/>
      <c r="J13" s="120"/>
      <c r="K13" s="120"/>
      <c r="L13" s="56"/>
      <c r="M13" s="120"/>
      <c r="N13" s="120"/>
      <c r="O13" s="136"/>
      <c r="P13" s="56"/>
      <c r="Q13" s="56"/>
      <c r="R13" s="56"/>
      <c r="S13" s="56"/>
      <c r="T13" s="56"/>
      <c r="U13" s="56"/>
      <c r="V13" s="56"/>
      <c r="W13" s="56"/>
      <c r="X13" s="57"/>
      <c r="Y13" s="6"/>
      <c r="Z13" s="63"/>
      <c r="AA13" s="63"/>
      <c r="AB13" s="63"/>
      <c r="AC13"/>
      <c r="AD13"/>
      <c r="AE13"/>
      <c r="AF13"/>
      <c r="AG13"/>
      <c r="AH13"/>
      <c r="AI13"/>
      <c r="AJ13"/>
      <c r="AK13"/>
      <c r="AL13"/>
      <c r="AM13"/>
      <c r="AN13"/>
    </row>
    <row r="14" spans="1:40" s="1" customFormat="1" x14ac:dyDescent="0.2">
      <c r="B14" s="28" t="s">
        <v>126</v>
      </c>
      <c r="C14" s="29"/>
      <c r="D14" s="29"/>
      <c r="E14" s="29"/>
      <c r="F14" s="29"/>
      <c r="G14" s="29"/>
      <c r="H14" s="112"/>
      <c r="I14" s="112"/>
      <c r="J14" s="112"/>
      <c r="K14" s="112"/>
      <c r="L14" s="154"/>
      <c r="M14" s="155"/>
      <c r="N14" s="155"/>
      <c r="O14" s="123"/>
      <c r="P14" s="29"/>
      <c r="Q14" s="29"/>
      <c r="R14" s="29"/>
      <c r="S14" s="29"/>
      <c r="T14" s="29"/>
      <c r="U14" s="29"/>
      <c r="V14" s="29"/>
      <c r="W14" s="29"/>
      <c r="X14" s="30"/>
      <c r="Y14" s="6"/>
      <c r="Z14" s="63"/>
      <c r="AA14" s="63"/>
      <c r="AB14" s="63"/>
      <c r="AC14"/>
      <c r="AD14"/>
      <c r="AE14"/>
      <c r="AF14"/>
      <c r="AG14"/>
      <c r="AH14"/>
      <c r="AI14"/>
      <c r="AJ14"/>
      <c r="AK14"/>
      <c r="AL14"/>
      <c r="AM14"/>
      <c r="AN14"/>
    </row>
    <row r="15" spans="1:40" s="1" customFormat="1" ht="12.95" customHeight="1" x14ac:dyDescent="0.2">
      <c r="B15" s="459" t="s">
        <v>127</v>
      </c>
      <c r="C15" s="32" t="s">
        <v>32</v>
      </c>
      <c r="D15" s="31" t="s">
        <v>128</v>
      </c>
      <c r="E15" s="33" t="s">
        <v>19</v>
      </c>
      <c r="F15" s="32">
        <v>2011</v>
      </c>
      <c r="G15" s="32" t="s">
        <v>263</v>
      </c>
      <c r="H15" s="32">
        <v>0.3</v>
      </c>
      <c r="I15" s="32">
        <v>0.42</v>
      </c>
      <c r="J15" s="32">
        <v>0.41</v>
      </c>
      <c r="K15" s="72">
        <v>0.69</v>
      </c>
      <c r="L15" s="61" t="s">
        <v>38</v>
      </c>
      <c r="M15" s="96" t="s">
        <v>265</v>
      </c>
      <c r="N15" s="96" t="s">
        <v>193</v>
      </c>
      <c r="O15" s="58"/>
      <c r="P15" s="34"/>
      <c r="Q15" s="32">
        <v>2</v>
      </c>
      <c r="R15" s="33">
        <v>1</v>
      </c>
      <c r="S15" s="33">
        <v>1</v>
      </c>
      <c r="T15" s="33">
        <v>2</v>
      </c>
      <c r="U15" s="34">
        <v>2</v>
      </c>
      <c r="V15" s="35">
        <f>AVERAGE(Q15:U15)</f>
        <v>1.6</v>
      </c>
      <c r="W15" s="33">
        <v>5</v>
      </c>
      <c r="X15" s="36">
        <f t="shared" ref="X15:X67" si="0">AVERAGE(Q15:V15)</f>
        <v>1.5999999999999999</v>
      </c>
      <c r="Y15" s="6"/>
      <c r="Z15" s="63"/>
      <c r="AA15" s="63"/>
      <c r="AB15" s="63"/>
      <c r="AC15"/>
      <c r="AD15"/>
      <c r="AE15"/>
      <c r="AF15"/>
      <c r="AG15"/>
      <c r="AH15"/>
      <c r="AI15"/>
      <c r="AJ15"/>
      <c r="AK15"/>
      <c r="AL15"/>
      <c r="AM15"/>
      <c r="AN15"/>
    </row>
    <row r="16" spans="1:40" s="1" customFormat="1" ht="12.95" customHeight="1" x14ac:dyDescent="0.2">
      <c r="B16" s="460"/>
      <c r="C16" s="32" t="s">
        <v>32</v>
      </c>
      <c r="D16" s="31" t="s">
        <v>129</v>
      </c>
      <c r="E16" s="33" t="s">
        <v>19</v>
      </c>
      <c r="F16" s="32">
        <v>2011</v>
      </c>
      <c r="G16" s="32" t="s">
        <v>263</v>
      </c>
      <c r="H16" s="32">
        <v>0.9</v>
      </c>
      <c r="I16" s="32">
        <v>1.24</v>
      </c>
      <c r="J16" s="32">
        <v>1.23</v>
      </c>
      <c r="K16" s="72">
        <v>2.0699999999999998</v>
      </c>
      <c r="L16" s="5" t="s">
        <v>129</v>
      </c>
      <c r="M16" s="116" t="s">
        <v>192</v>
      </c>
      <c r="N16" s="77" t="s">
        <v>193</v>
      </c>
      <c r="O16" s="58"/>
      <c r="P16" s="34"/>
      <c r="Q16" s="32">
        <v>2</v>
      </c>
      <c r="R16" s="33">
        <v>1</v>
      </c>
      <c r="S16" s="33">
        <v>1</v>
      </c>
      <c r="T16" s="33">
        <v>2</v>
      </c>
      <c r="U16" s="34">
        <v>2</v>
      </c>
      <c r="V16" s="35">
        <f t="shared" ref="V16:V67" si="1">AVERAGE(Q16:U16)</f>
        <v>1.6</v>
      </c>
      <c r="W16" s="33">
        <v>5</v>
      </c>
      <c r="X16" s="36">
        <f t="shared" si="0"/>
        <v>1.5999999999999999</v>
      </c>
      <c r="Y16" s="6"/>
      <c r="Z16" s="63"/>
      <c r="AA16" s="63"/>
      <c r="AB16" s="63"/>
      <c r="AC16"/>
      <c r="AD16"/>
      <c r="AE16"/>
      <c r="AF16"/>
      <c r="AG16"/>
      <c r="AH16"/>
      <c r="AI16"/>
      <c r="AJ16"/>
      <c r="AK16"/>
      <c r="AL16"/>
      <c r="AM16"/>
      <c r="AN16"/>
    </row>
    <row r="17" spans="1:40" s="1" customFormat="1" ht="12.95" customHeight="1" x14ac:dyDescent="0.2">
      <c r="B17" s="460"/>
      <c r="C17" s="32" t="s">
        <v>32</v>
      </c>
      <c r="D17" s="31" t="s">
        <v>136</v>
      </c>
      <c r="E17" s="33" t="s">
        <v>19</v>
      </c>
      <c r="F17" s="32">
        <v>2011</v>
      </c>
      <c r="G17" s="32" t="s">
        <v>263</v>
      </c>
      <c r="H17" s="32">
        <v>2.82</v>
      </c>
      <c r="I17" s="32">
        <v>3.39</v>
      </c>
      <c r="J17" s="32">
        <v>3.86</v>
      </c>
      <c r="K17" s="72">
        <v>6.48</v>
      </c>
      <c r="L17" s="156" t="s">
        <v>241</v>
      </c>
      <c r="M17" s="116" t="s">
        <v>192</v>
      </c>
      <c r="N17" s="77" t="s">
        <v>193</v>
      </c>
      <c r="O17" s="58"/>
      <c r="P17" s="34"/>
      <c r="Q17" s="32"/>
      <c r="R17" s="33"/>
      <c r="S17" s="33"/>
      <c r="T17" s="33"/>
      <c r="U17" s="34"/>
      <c r="V17" s="35"/>
      <c r="W17" s="33"/>
      <c r="X17" s="36"/>
      <c r="Y17" s="6"/>
      <c r="Z17" s="63"/>
      <c r="AA17" s="63"/>
      <c r="AB17" s="63"/>
      <c r="AC17"/>
      <c r="AD17"/>
      <c r="AE17"/>
      <c r="AF17"/>
      <c r="AG17"/>
      <c r="AH17"/>
      <c r="AI17"/>
      <c r="AJ17"/>
      <c r="AK17"/>
      <c r="AL17"/>
      <c r="AM17"/>
      <c r="AN17"/>
    </row>
    <row r="18" spans="1:40" s="1" customFormat="1" ht="12.95" customHeight="1" x14ac:dyDescent="0.2">
      <c r="B18" s="460"/>
      <c r="C18" s="32" t="s">
        <v>32</v>
      </c>
      <c r="D18" s="31" t="s">
        <v>130</v>
      </c>
      <c r="E18" s="33" t="s">
        <v>19</v>
      </c>
      <c r="F18" s="32">
        <v>2012</v>
      </c>
      <c r="G18" s="32" t="s">
        <v>262</v>
      </c>
      <c r="H18" s="32">
        <v>3.31</v>
      </c>
      <c r="I18" s="32">
        <v>4.58</v>
      </c>
      <c r="J18" s="32">
        <v>4.53</v>
      </c>
      <c r="K18" s="72">
        <v>7.63</v>
      </c>
      <c r="L18" s="61" t="s">
        <v>117</v>
      </c>
      <c r="M18" s="77" t="s">
        <v>192</v>
      </c>
      <c r="N18" s="77" t="s">
        <v>193</v>
      </c>
      <c r="O18" s="58"/>
      <c r="P18" s="34"/>
      <c r="Q18" s="32">
        <v>1</v>
      </c>
      <c r="R18" s="33">
        <v>1</v>
      </c>
      <c r="S18" s="33">
        <v>1</v>
      </c>
      <c r="T18" s="33">
        <v>2</v>
      </c>
      <c r="U18" s="34">
        <v>2</v>
      </c>
      <c r="V18" s="35">
        <f t="shared" si="1"/>
        <v>1.4</v>
      </c>
      <c r="W18" s="33">
        <v>5</v>
      </c>
      <c r="X18" s="36">
        <f t="shared" si="0"/>
        <v>1.4000000000000001</v>
      </c>
      <c r="Y18" s="6"/>
      <c r="Z18" s="63"/>
      <c r="AA18" s="63"/>
      <c r="AB18" s="63"/>
      <c r="AC18"/>
      <c r="AD18"/>
      <c r="AE18"/>
      <c r="AF18"/>
      <c r="AG18"/>
      <c r="AH18"/>
      <c r="AI18"/>
      <c r="AJ18"/>
      <c r="AK18"/>
      <c r="AL18"/>
      <c r="AM18"/>
      <c r="AN18"/>
    </row>
    <row r="19" spans="1:40" s="1" customFormat="1" ht="12.95" customHeight="1" x14ac:dyDescent="0.2">
      <c r="B19" s="460"/>
      <c r="C19" s="80" t="s">
        <v>20</v>
      </c>
      <c r="D19" s="81" t="s">
        <v>131</v>
      </c>
      <c r="E19" s="33" t="s">
        <v>19</v>
      </c>
      <c r="F19" s="32">
        <v>2012</v>
      </c>
      <c r="G19" s="80" t="s">
        <v>262</v>
      </c>
      <c r="H19" s="80">
        <v>0.02</v>
      </c>
      <c r="I19" s="80">
        <v>0.03</v>
      </c>
      <c r="J19" s="80">
        <v>0.03</v>
      </c>
      <c r="K19" s="102">
        <v>0.04</v>
      </c>
      <c r="L19" s="157" t="s">
        <v>238</v>
      </c>
      <c r="M19" s="158" t="s">
        <v>197</v>
      </c>
      <c r="N19" s="88" t="s">
        <v>201</v>
      </c>
      <c r="O19" s="16" t="s">
        <v>239</v>
      </c>
      <c r="P19" s="34"/>
      <c r="Q19" s="32">
        <v>2</v>
      </c>
      <c r="R19" s="33">
        <v>1</v>
      </c>
      <c r="S19" s="33">
        <v>2</v>
      </c>
      <c r="T19" s="33">
        <v>2</v>
      </c>
      <c r="U19" s="34">
        <v>2</v>
      </c>
      <c r="V19" s="35">
        <f t="shared" si="1"/>
        <v>1.8</v>
      </c>
      <c r="W19" s="33">
        <v>5</v>
      </c>
      <c r="X19" s="36">
        <f t="shared" si="0"/>
        <v>1.8</v>
      </c>
      <c r="Y19" s="6"/>
      <c r="Z19" s="63"/>
      <c r="AA19" s="63"/>
      <c r="AB19" s="63"/>
      <c r="AC19"/>
      <c r="AD19"/>
      <c r="AE19"/>
      <c r="AF19"/>
      <c r="AG19"/>
      <c r="AH19"/>
      <c r="AI19"/>
      <c r="AJ19"/>
      <c r="AK19"/>
      <c r="AL19"/>
      <c r="AM19"/>
      <c r="AN19"/>
    </row>
    <row r="20" spans="1:40" s="1" customFormat="1" ht="12.95" customHeight="1" x14ac:dyDescent="0.2">
      <c r="B20" s="460"/>
      <c r="C20" s="32" t="s">
        <v>32</v>
      </c>
      <c r="D20" s="31" t="s">
        <v>132</v>
      </c>
      <c r="E20" s="33" t="s">
        <v>19</v>
      </c>
      <c r="F20" s="32">
        <v>2010</v>
      </c>
      <c r="G20" s="32" t="s">
        <v>262</v>
      </c>
      <c r="H20" s="32">
        <v>0.01</v>
      </c>
      <c r="I20" s="32">
        <v>0.02</v>
      </c>
      <c r="J20" s="32">
        <v>0.02</v>
      </c>
      <c r="K20" s="72">
        <v>0.03</v>
      </c>
      <c r="L20" s="156" t="s">
        <v>132</v>
      </c>
      <c r="M20" s="77" t="s">
        <v>32</v>
      </c>
      <c r="N20" s="77" t="s">
        <v>193</v>
      </c>
      <c r="O20" s="58"/>
      <c r="P20" s="34"/>
      <c r="Q20" s="32">
        <v>2</v>
      </c>
      <c r="R20" s="33">
        <v>1</v>
      </c>
      <c r="S20" s="33">
        <v>1</v>
      </c>
      <c r="T20" s="33">
        <v>2</v>
      </c>
      <c r="U20" s="34">
        <v>2</v>
      </c>
      <c r="V20" s="35">
        <f t="shared" si="1"/>
        <v>1.6</v>
      </c>
      <c r="W20" s="33">
        <v>5</v>
      </c>
      <c r="X20" s="36">
        <f t="shared" si="0"/>
        <v>1.5999999999999999</v>
      </c>
      <c r="Y20" s="6"/>
      <c r="Z20" s="63"/>
      <c r="AA20" s="63"/>
      <c r="AB20" s="63"/>
      <c r="AC20"/>
      <c r="AD20"/>
      <c r="AE20"/>
      <c r="AF20"/>
      <c r="AG20"/>
      <c r="AH20"/>
      <c r="AI20"/>
      <c r="AJ20"/>
      <c r="AK20"/>
      <c r="AL20"/>
      <c r="AM20"/>
      <c r="AN20"/>
    </row>
    <row r="21" spans="1:40" s="1" customFormat="1" ht="12.95" customHeight="1" x14ac:dyDescent="0.2">
      <c r="B21" s="460"/>
      <c r="C21" s="32" t="s">
        <v>32</v>
      </c>
      <c r="D21" s="31" t="s">
        <v>383</v>
      </c>
      <c r="E21" s="33" t="s">
        <v>19</v>
      </c>
      <c r="F21" s="32">
        <v>2012</v>
      </c>
      <c r="G21" s="32" t="s">
        <v>262</v>
      </c>
      <c r="H21" s="32">
        <v>0.08</v>
      </c>
      <c r="I21" s="32">
        <v>0.12</v>
      </c>
      <c r="J21" s="32">
        <v>0.12</v>
      </c>
      <c r="K21" s="72">
        <v>0.19</v>
      </c>
      <c r="L21" s="61" t="s">
        <v>230</v>
      </c>
      <c r="M21" s="77" t="s">
        <v>197</v>
      </c>
      <c r="N21" s="77" t="s">
        <v>193</v>
      </c>
      <c r="O21" s="58"/>
      <c r="P21" s="34"/>
      <c r="Q21" s="32">
        <v>1</v>
      </c>
      <c r="R21" s="33">
        <v>1</v>
      </c>
      <c r="S21" s="33">
        <v>1</v>
      </c>
      <c r="T21" s="33">
        <v>2</v>
      </c>
      <c r="U21" s="34">
        <v>2</v>
      </c>
      <c r="V21" s="35">
        <f t="shared" si="1"/>
        <v>1.4</v>
      </c>
      <c r="W21" s="33">
        <v>5</v>
      </c>
      <c r="X21" s="36">
        <f t="shared" si="0"/>
        <v>1.4000000000000001</v>
      </c>
      <c r="Y21" s="6"/>
      <c r="Z21" s="63"/>
      <c r="AA21" s="63"/>
      <c r="AB21" s="63"/>
      <c r="AC21"/>
      <c r="AD21"/>
      <c r="AE21"/>
      <c r="AF21"/>
      <c r="AG21"/>
      <c r="AH21"/>
      <c r="AI21"/>
      <c r="AJ21"/>
      <c r="AK21"/>
      <c r="AL21"/>
      <c r="AM21"/>
      <c r="AN21"/>
    </row>
    <row r="22" spans="1:40" s="1" customFormat="1" ht="12.95" customHeight="1" x14ac:dyDescent="0.2">
      <c r="B22" s="460"/>
      <c r="C22" s="32" t="s">
        <v>32</v>
      </c>
      <c r="D22" s="31" t="s">
        <v>133</v>
      </c>
      <c r="E22" s="33" t="s">
        <v>19</v>
      </c>
      <c r="F22" s="32">
        <v>2012</v>
      </c>
      <c r="G22" s="32" t="s">
        <v>262</v>
      </c>
      <c r="H22" s="32">
        <v>0.28000000000000003</v>
      </c>
      <c r="I22" s="32">
        <v>0.4</v>
      </c>
      <c r="J22" s="32">
        <v>0.39</v>
      </c>
      <c r="K22" s="72">
        <v>0.66</v>
      </c>
      <c r="L22" s="61" t="s">
        <v>233</v>
      </c>
      <c r="M22" s="77" t="s">
        <v>197</v>
      </c>
      <c r="N22" s="77" t="s">
        <v>193</v>
      </c>
      <c r="O22" s="58"/>
      <c r="P22" s="34"/>
      <c r="Q22" s="32">
        <v>1</v>
      </c>
      <c r="R22" s="33">
        <v>1</v>
      </c>
      <c r="S22" s="33">
        <v>1</v>
      </c>
      <c r="T22" s="33">
        <v>2</v>
      </c>
      <c r="U22" s="34">
        <v>2</v>
      </c>
      <c r="V22" s="35">
        <f t="shared" si="1"/>
        <v>1.4</v>
      </c>
      <c r="W22" s="33">
        <v>5</v>
      </c>
      <c r="X22" s="36">
        <f t="shared" si="0"/>
        <v>1.4000000000000001</v>
      </c>
      <c r="Y22" s="6"/>
      <c r="Z22" s="63"/>
      <c r="AA22" s="63"/>
      <c r="AB22" s="63"/>
      <c r="AC22"/>
      <c r="AD22"/>
      <c r="AE22"/>
      <c r="AF22"/>
      <c r="AG22"/>
      <c r="AH22"/>
      <c r="AI22"/>
      <c r="AJ22"/>
      <c r="AK22"/>
      <c r="AL22"/>
      <c r="AM22"/>
      <c r="AN22"/>
    </row>
    <row r="23" spans="1:40" s="1" customFormat="1" ht="12.95" customHeight="1" x14ac:dyDescent="0.2">
      <c r="B23" s="460"/>
      <c r="C23" s="32" t="s">
        <v>32</v>
      </c>
      <c r="D23" s="31" t="s">
        <v>134</v>
      </c>
      <c r="E23" s="33" t="s">
        <v>19</v>
      </c>
      <c r="F23" s="32">
        <v>2012</v>
      </c>
      <c r="G23" s="32" t="s">
        <v>262</v>
      </c>
      <c r="H23" s="32">
        <v>0.03</v>
      </c>
      <c r="I23" s="32">
        <v>0.05</v>
      </c>
      <c r="J23" s="32">
        <v>0.05</v>
      </c>
      <c r="K23" s="72">
        <v>0.09</v>
      </c>
      <c r="L23" s="156" t="s">
        <v>240</v>
      </c>
      <c r="M23" s="116" t="s">
        <v>192</v>
      </c>
      <c r="N23" s="77" t="s">
        <v>193</v>
      </c>
      <c r="O23" s="58"/>
      <c r="P23" s="34"/>
      <c r="Q23" s="32">
        <v>3</v>
      </c>
      <c r="R23" s="33">
        <v>1</v>
      </c>
      <c r="S23" s="33">
        <v>1</v>
      </c>
      <c r="T23" s="33">
        <v>3</v>
      </c>
      <c r="U23" s="34">
        <v>3</v>
      </c>
      <c r="V23" s="35">
        <f t="shared" si="1"/>
        <v>2.2000000000000002</v>
      </c>
      <c r="W23" s="33">
        <v>5</v>
      </c>
      <c r="X23" s="36">
        <f t="shared" si="0"/>
        <v>2.1999999999999997</v>
      </c>
      <c r="Y23" s="6"/>
      <c r="Z23" s="63"/>
      <c r="AA23" s="63"/>
      <c r="AB23" s="63"/>
      <c r="AC23"/>
      <c r="AD23"/>
      <c r="AE23"/>
      <c r="AF23"/>
      <c r="AG23"/>
      <c r="AH23"/>
      <c r="AI23"/>
      <c r="AJ23"/>
      <c r="AK23"/>
      <c r="AL23"/>
      <c r="AM23"/>
      <c r="AN23"/>
    </row>
    <row r="24" spans="1:40" s="1" customFormat="1" ht="12.95" customHeight="1" x14ac:dyDescent="0.2">
      <c r="B24" s="461"/>
      <c r="C24" s="32" t="s">
        <v>32</v>
      </c>
      <c r="D24" s="31" t="s">
        <v>123</v>
      </c>
      <c r="E24" s="33" t="s">
        <v>19</v>
      </c>
      <c r="F24" s="32">
        <v>2012</v>
      </c>
      <c r="G24" s="32" t="s">
        <v>262</v>
      </c>
      <c r="H24" s="32">
        <v>3.6</v>
      </c>
      <c r="I24" s="32">
        <v>4.9800000000000004</v>
      </c>
      <c r="J24" s="32">
        <v>4.93</v>
      </c>
      <c r="K24" s="72">
        <v>8.27</v>
      </c>
      <c r="L24" s="61" t="s">
        <v>216</v>
      </c>
      <c r="M24" s="77" t="s">
        <v>192</v>
      </c>
      <c r="N24" s="77" t="s">
        <v>193</v>
      </c>
      <c r="O24" s="58"/>
      <c r="P24" s="34"/>
      <c r="Q24" s="32">
        <v>3</v>
      </c>
      <c r="R24" s="33">
        <v>1</v>
      </c>
      <c r="S24" s="33">
        <v>1</v>
      </c>
      <c r="T24" s="33">
        <v>3</v>
      </c>
      <c r="U24" s="34">
        <v>3</v>
      </c>
      <c r="V24" s="35">
        <f t="shared" si="1"/>
        <v>2.2000000000000002</v>
      </c>
      <c r="W24" s="33">
        <v>5</v>
      </c>
      <c r="X24" s="36">
        <f t="shared" si="0"/>
        <v>2.1999999999999997</v>
      </c>
      <c r="Y24" s="6"/>
      <c r="Z24" s="63"/>
      <c r="AA24" s="63"/>
      <c r="AB24" s="63"/>
      <c r="AC24"/>
      <c r="AD24"/>
      <c r="AE24"/>
      <c r="AF24"/>
      <c r="AG24"/>
      <c r="AH24"/>
      <c r="AI24"/>
      <c r="AJ24"/>
      <c r="AK24"/>
      <c r="AL24"/>
      <c r="AM24"/>
      <c r="AN24"/>
    </row>
    <row r="25" spans="1:40" s="1" customFormat="1" ht="12.95" customHeight="1" x14ac:dyDescent="0.2">
      <c r="B25" s="459" t="s">
        <v>135</v>
      </c>
      <c r="C25" s="32" t="s">
        <v>32</v>
      </c>
      <c r="D25" s="31" t="s">
        <v>136</v>
      </c>
      <c r="E25" s="33" t="s">
        <v>19</v>
      </c>
      <c r="F25" s="32">
        <v>2011</v>
      </c>
      <c r="G25" s="32" t="s">
        <v>262</v>
      </c>
      <c r="H25" s="32">
        <v>0.64</v>
      </c>
      <c r="I25" s="32">
        <v>0.88</v>
      </c>
      <c r="J25" s="32">
        <v>0.87</v>
      </c>
      <c r="K25" s="72">
        <v>1.46</v>
      </c>
      <c r="L25" s="156" t="s">
        <v>241</v>
      </c>
      <c r="M25" s="116" t="s">
        <v>192</v>
      </c>
      <c r="N25" s="77" t="s">
        <v>193</v>
      </c>
      <c r="O25" s="58"/>
      <c r="P25" s="34"/>
      <c r="Q25" s="32">
        <v>3</v>
      </c>
      <c r="R25" s="33">
        <v>1</v>
      </c>
      <c r="S25" s="33">
        <v>1</v>
      </c>
      <c r="T25" s="33">
        <v>3</v>
      </c>
      <c r="U25" s="34">
        <v>3</v>
      </c>
      <c r="V25" s="35">
        <f t="shared" si="1"/>
        <v>2.2000000000000002</v>
      </c>
      <c r="W25" s="33">
        <v>5</v>
      </c>
      <c r="X25" s="36">
        <f t="shared" si="0"/>
        <v>2.1999999999999997</v>
      </c>
      <c r="Y25" s="6"/>
      <c r="Z25" s="63"/>
      <c r="AA25" s="63"/>
      <c r="AB25" s="63"/>
      <c r="AC25"/>
      <c r="AD25"/>
      <c r="AE25"/>
      <c r="AF25"/>
      <c r="AG25"/>
      <c r="AH25"/>
      <c r="AI25"/>
      <c r="AJ25"/>
      <c r="AK25"/>
      <c r="AL25"/>
      <c r="AM25"/>
      <c r="AN25"/>
    </row>
    <row r="26" spans="1:40" s="1" customFormat="1" ht="12.95" customHeight="1" x14ac:dyDescent="0.2">
      <c r="B26" s="460"/>
      <c r="C26" s="32" t="s">
        <v>24</v>
      </c>
      <c r="D26" s="31" t="s">
        <v>137</v>
      </c>
      <c r="E26" s="33" t="s">
        <v>19</v>
      </c>
      <c r="F26" s="32">
        <v>2012</v>
      </c>
      <c r="G26" s="32" t="s">
        <v>262</v>
      </c>
      <c r="H26" s="32">
        <v>0</v>
      </c>
      <c r="I26" s="32">
        <v>0</v>
      </c>
      <c r="J26" s="32">
        <v>0.01</v>
      </c>
      <c r="K26" s="72">
        <v>0</v>
      </c>
      <c r="L26" s="156" t="s">
        <v>242</v>
      </c>
      <c r="M26" s="116" t="s">
        <v>24</v>
      </c>
      <c r="N26" s="77" t="s">
        <v>193</v>
      </c>
      <c r="O26" s="58"/>
      <c r="P26" s="34"/>
      <c r="Q26" s="32">
        <v>1</v>
      </c>
      <c r="R26" s="33">
        <v>1</v>
      </c>
      <c r="S26" s="33">
        <v>2</v>
      </c>
      <c r="T26" s="33">
        <v>2</v>
      </c>
      <c r="U26" s="34">
        <v>2</v>
      </c>
      <c r="V26" s="35">
        <f t="shared" si="1"/>
        <v>1.6</v>
      </c>
      <c r="W26" s="33">
        <v>5</v>
      </c>
      <c r="X26" s="36">
        <f t="shared" si="0"/>
        <v>1.5999999999999999</v>
      </c>
      <c r="Y26" s="6"/>
      <c r="Z26" s="63"/>
      <c r="AA26" s="63"/>
      <c r="AB26" s="63"/>
      <c r="AC26"/>
      <c r="AD26"/>
      <c r="AE26"/>
      <c r="AF26"/>
      <c r="AG26"/>
      <c r="AH26"/>
      <c r="AI26"/>
      <c r="AJ26"/>
      <c r="AK26"/>
      <c r="AL26"/>
      <c r="AM26"/>
      <c r="AN26"/>
    </row>
    <row r="27" spans="1:40" s="1" customFormat="1" ht="12.95" customHeight="1" x14ac:dyDescent="0.2">
      <c r="B27" s="460"/>
      <c r="C27" s="32" t="s">
        <v>20</v>
      </c>
      <c r="D27" s="31" t="s">
        <v>138</v>
      </c>
      <c r="E27" s="33" t="s">
        <v>19</v>
      </c>
      <c r="F27" s="32">
        <v>2012</v>
      </c>
      <c r="G27" s="32" t="s">
        <v>262</v>
      </c>
      <c r="H27" s="32">
        <v>0.03</v>
      </c>
      <c r="I27" s="32">
        <v>0.04</v>
      </c>
      <c r="J27" s="32">
        <v>0</v>
      </c>
      <c r="K27" s="72">
        <v>0.2</v>
      </c>
      <c r="L27" s="61" t="s">
        <v>214</v>
      </c>
      <c r="M27" s="77" t="s">
        <v>29</v>
      </c>
      <c r="N27" s="77" t="s">
        <v>193</v>
      </c>
      <c r="O27" s="58"/>
      <c r="P27" s="33"/>
      <c r="Q27" s="32">
        <v>4</v>
      </c>
      <c r="R27" s="33">
        <v>1</v>
      </c>
      <c r="S27" s="33">
        <v>2</v>
      </c>
      <c r="T27" s="33">
        <v>4</v>
      </c>
      <c r="U27" s="33">
        <v>4</v>
      </c>
      <c r="V27" s="44">
        <f t="shared" si="1"/>
        <v>3</v>
      </c>
      <c r="W27" s="33">
        <v>5</v>
      </c>
      <c r="X27" s="36">
        <f t="shared" si="0"/>
        <v>3</v>
      </c>
      <c r="Y27" s="6"/>
      <c r="Z27" s="63"/>
      <c r="AA27" s="63"/>
      <c r="AB27" s="63"/>
      <c r="AC27"/>
      <c r="AD27"/>
      <c r="AE27"/>
      <c r="AF27"/>
      <c r="AG27"/>
      <c r="AH27"/>
      <c r="AI27"/>
      <c r="AJ27"/>
      <c r="AK27"/>
      <c r="AL27"/>
      <c r="AM27"/>
      <c r="AN27"/>
    </row>
    <row r="28" spans="1:40" s="1" customFormat="1" ht="12.95" customHeight="1" x14ac:dyDescent="0.2">
      <c r="B28" s="460"/>
      <c r="C28" s="32" t="s">
        <v>20</v>
      </c>
      <c r="D28" s="31" t="s">
        <v>139</v>
      </c>
      <c r="E28" s="33" t="s">
        <v>19</v>
      </c>
      <c r="F28" s="32">
        <v>2012</v>
      </c>
      <c r="G28" s="32" t="s">
        <v>262</v>
      </c>
      <c r="H28" s="32">
        <v>0.03</v>
      </c>
      <c r="I28" s="32">
        <v>0.03</v>
      </c>
      <c r="J28" s="32">
        <v>0.15</v>
      </c>
      <c r="K28" s="72">
        <v>0.04</v>
      </c>
      <c r="L28" s="61" t="s">
        <v>500</v>
      </c>
      <c r="M28" s="77" t="s">
        <v>29</v>
      </c>
      <c r="N28" s="77" t="s">
        <v>201</v>
      </c>
      <c r="O28" s="58" t="s">
        <v>501</v>
      </c>
      <c r="P28" s="33"/>
      <c r="Q28" s="32">
        <v>2</v>
      </c>
      <c r="R28" s="33">
        <v>1</v>
      </c>
      <c r="S28" s="33">
        <v>2</v>
      </c>
      <c r="T28" s="33">
        <v>2</v>
      </c>
      <c r="U28" s="33">
        <v>2</v>
      </c>
      <c r="V28" s="44">
        <f t="shared" si="1"/>
        <v>1.8</v>
      </c>
      <c r="W28" s="33">
        <v>5</v>
      </c>
      <c r="X28" s="36">
        <f t="shared" si="0"/>
        <v>1.8</v>
      </c>
      <c r="Y28" s="6"/>
      <c r="Z28" s="63"/>
      <c r="AA28" s="63"/>
      <c r="AB28" s="63"/>
      <c r="AC28"/>
      <c r="AD28"/>
      <c r="AE28"/>
      <c r="AF28"/>
      <c r="AG28"/>
      <c r="AH28"/>
      <c r="AI28"/>
      <c r="AJ28"/>
      <c r="AK28"/>
      <c r="AL28"/>
      <c r="AM28"/>
      <c r="AN28"/>
    </row>
    <row r="29" spans="1:40" s="1" customFormat="1" ht="12.95" customHeight="1" x14ac:dyDescent="0.2">
      <c r="B29" s="460"/>
      <c r="C29" s="80" t="s">
        <v>29</v>
      </c>
      <c r="D29" s="81" t="s">
        <v>44</v>
      </c>
      <c r="E29" s="33" t="s">
        <v>140</v>
      </c>
      <c r="F29" s="32">
        <v>2012</v>
      </c>
      <c r="G29" s="80" t="s">
        <v>262</v>
      </c>
      <c r="H29" s="80">
        <v>0.03</v>
      </c>
      <c r="I29" s="80">
        <v>0.12</v>
      </c>
      <c r="J29" s="80">
        <v>0.02</v>
      </c>
      <c r="K29" s="102">
        <v>0.05</v>
      </c>
      <c r="L29" s="89" t="s">
        <v>200</v>
      </c>
      <c r="M29" s="98" t="s">
        <v>29</v>
      </c>
      <c r="N29" s="88" t="s">
        <v>201</v>
      </c>
      <c r="O29" s="12" t="s">
        <v>202</v>
      </c>
      <c r="P29" s="33"/>
      <c r="Q29" s="32">
        <v>3</v>
      </c>
      <c r="R29" s="33">
        <v>1</v>
      </c>
      <c r="S29" s="33">
        <v>3</v>
      </c>
      <c r="T29" s="33">
        <v>3</v>
      </c>
      <c r="U29" s="33">
        <v>2</v>
      </c>
      <c r="V29" s="44">
        <f t="shared" si="1"/>
        <v>2.4</v>
      </c>
      <c r="W29" s="33">
        <v>5</v>
      </c>
      <c r="X29" s="36">
        <f t="shared" si="0"/>
        <v>2.4</v>
      </c>
      <c r="Y29" s="6"/>
      <c r="Z29" s="63"/>
      <c r="AA29" s="63"/>
      <c r="AB29" s="63"/>
      <c r="AC29"/>
      <c r="AD29"/>
      <c r="AE29"/>
      <c r="AF29"/>
      <c r="AG29"/>
      <c r="AH29"/>
      <c r="AI29"/>
      <c r="AJ29"/>
      <c r="AK29"/>
      <c r="AL29"/>
      <c r="AM29"/>
      <c r="AN29"/>
    </row>
    <row r="30" spans="1:40" s="1" customFormat="1" ht="12.95" customHeight="1" x14ac:dyDescent="0.2">
      <c r="B30" s="460"/>
      <c r="C30" s="32" t="s">
        <v>29</v>
      </c>
      <c r="D30" s="31" t="s">
        <v>91</v>
      </c>
      <c r="E30" s="33" t="s">
        <v>19</v>
      </c>
      <c r="F30" s="32">
        <v>2012</v>
      </c>
      <c r="G30" s="32" t="s">
        <v>262</v>
      </c>
      <c r="H30" s="32">
        <v>0.04</v>
      </c>
      <c r="I30" s="32">
        <v>0.01</v>
      </c>
      <c r="J30" s="32">
        <v>0</v>
      </c>
      <c r="K30" s="72">
        <v>0.03</v>
      </c>
      <c r="L30" s="75" t="s">
        <v>206</v>
      </c>
      <c r="M30" s="76" t="s">
        <v>192</v>
      </c>
      <c r="N30" s="77" t="s">
        <v>193</v>
      </c>
      <c r="O30" s="13"/>
      <c r="P30" s="33"/>
      <c r="Q30" s="33">
        <v>2</v>
      </c>
      <c r="R30" s="33">
        <v>1</v>
      </c>
      <c r="S30" s="33">
        <v>2</v>
      </c>
      <c r="T30" s="33">
        <v>2</v>
      </c>
      <c r="U30" s="33">
        <v>2</v>
      </c>
      <c r="V30" s="44">
        <f t="shared" si="1"/>
        <v>1.8</v>
      </c>
      <c r="W30" s="33">
        <v>5</v>
      </c>
      <c r="X30" s="36">
        <f t="shared" si="0"/>
        <v>1.8</v>
      </c>
      <c r="Y30" s="6"/>
      <c r="Z30" s="63"/>
      <c r="AA30" s="63"/>
      <c r="AB30" s="63"/>
      <c r="AC30"/>
      <c r="AD30"/>
      <c r="AE30"/>
      <c r="AF30"/>
      <c r="AG30"/>
      <c r="AH30"/>
      <c r="AI30"/>
      <c r="AJ30"/>
      <c r="AK30"/>
      <c r="AL30"/>
      <c r="AM30"/>
      <c r="AN30"/>
    </row>
    <row r="31" spans="1:40" s="1" customFormat="1" ht="12.95" customHeight="1" x14ac:dyDescent="0.2">
      <c r="B31" s="460"/>
      <c r="C31" s="32" t="s">
        <v>32</v>
      </c>
      <c r="D31" s="31" t="s">
        <v>33</v>
      </c>
      <c r="E31" s="33" t="s">
        <v>19</v>
      </c>
      <c r="F31" s="32">
        <v>2012</v>
      </c>
      <c r="G31" s="32" t="s">
        <v>262</v>
      </c>
      <c r="H31" s="32">
        <v>0</v>
      </c>
      <c r="I31" s="32">
        <v>0</v>
      </c>
      <c r="J31" s="144">
        <v>5.9799999999999999E-2</v>
      </c>
      <c r="K31" s="72">
        <v>0</v>
      </c>
      <c r="L31" s="75" t="s">
        <v>231</v>
      </c>
      <c r="M31" s="76" t="s">
        <v>192</v>
      </c>
      <c r="N31" s="77" t="s">
        <v>193</v>
      </c>
      <c r="O31" s="58"/>
      <c r="P31" s="33"/>
      <c r="Q31" s="33">
        <v>3</v>
      </c>
      <c r="R31" s="33">
        <v>1</v>
      </c>
      <c r="S31" s="33">
        <v>1</v>
      </c>
      <c r="T31" s="33">
        <v>3</v>
      </c>
      <c r="U31" s="33">
        <v>3</v>
      </c>
      <c r="V31" s="44">
        <f t="shared" si="1"/>
        <v>2.2000000000000002</v>
      </c>
      <c r="W31" s="33">
        <v>5</v>
      </c>
      <c r="X31" s="36">
        <f t="shared" si="0"/>
        <v>2.1999999999999997</v>
      </c>
      <c r="Y31" s="6"/>
      <c r="Z31" s="63"/>
      <c r="AA31" s="63"/>
      <c r="AB31" s="63"/>
      <c r="AC31"/>
      <c r="AD31"/>
      <c r="AE31"/>
      <c r="AF31"/>
      <c r="AG31"/>
      <c r="AH31"/>
      <c r="AI31"/>
      <c r="AJ31"/>
      <c r="AK31"/>
      <c r="AL31"/>
      <c r="AM31"/>
      <c r="AN31"/>
    </row>
    <row r="32" spans="1:40" s="4" customFormat="1" ht="12.95" customHeight="1" x14ac:dyDescent="0.2">
      <c r="A32" s="3"/>
      <c r="B32" s="462"/>
      <c r="C32" s="32" t="s">
        <v>29</v>
      </c>
      <c r="D32" s="31" t="s">
        <v>49</v>
      </c>
      <c r="E32" s="33" t="s">
        <v>50</v>
      </c>
      <c r="F32" s="32">
        <v>2007</v>
      </c>
      <c r="G32" s="32" t="s">
        <v>262</v>
      </c>
      <c r="H32" s="32" t="s">
        <v>198</v>
      </c>
      <c r="I32" s="32" t="s">
        <v>198</v>
      </c>
      <c r="J32" s="32" t="s">
        <v>198</v>
      </c>
      <c r="K32" s="72" t="s">
        <v>198</v>
      </c>
      <c r="L32" s="61" t="s">
        <v>198</v>
      </c>
      <c r="M32" s="96" t="s">
        <v>198</v>
      </c>
      <c r="N32" s="96" t="s">
        <v>198</v>
      </c>
      <c r="O32" s="58"/>
      <c r="P32" s="33"/>
      <c r="Q32" s="33">
        <v>1</v>
      </c>
      <c r="R32" s="33">
        <v>2</v>
      </c>
      <c r="S32" s="33">
        <v>2</v>
      </c>
      <c r="T32" s="33">
        <v>2</v>
      </c>
      <c r="U32" s="34">
        <v>1</v>
      </c>
      <c r="V32" s="35">
        <f t="shared" si="1"/>
        <v>1.6</v>
      </c>
      <c r="W32" s="33">
        <v>5</v>
      </c>
      <c r="X32" s="36">
        <f t="shared" si="0"/>
        <v>1.5999999999999999</v>
      </c>
      <c r="Y32" s="67"/>
      <c r="Z32" s="68"/>
      <c r="AA32" s="63"/>
      <c r="AB32" s="63"/>
      <c r="AC32"/>
      <c r="AD32"/>
      <c r="AE32"/>
      <c r="AF32"/>
      <c r="AG32"/>
      <c r="AH32"/>
      <c r="AI32"/>
      <c r="AJ32"/>
      <c r="AK32"/>
      <c r="AL32"/>
      <c r="AM32"/>
      <c r="AN32"/>
    </row>
    <row r="33" spans="1:31" s="1" customFormat="1" ht="12.95" customHeight="1" x14ac:dyDescent="0.2">
      <c r="B33" s="455" t="s">
        <v>141</v>
      </c>
      <c r="C33" s="32" t="s">
        <v>20</v>
      </c>
      <c r="D33" s="58" t="s">
        <v>142</v>
      </c>
      <c r="E33" s="33" t="s">
        <v>19</v>
      </c>
      <c r="F33" s="32">
        <v>2012</v>
      </c>
      <c r="G33" s="32" t="s">
        <v>262</v>
      </c>
      <c r="H33" s="32">
        <v>0.05</v>
      </c>
      <c r="I33" s="144">
        <v>5.0200000000000002E-3</v>
      </c>
      <c r="J33" s="32">
        <v>0.05</v>
      </c>
      <c r="K33" s="72">
        <v>0.47</v>
      </c>
      <c r="L33" s="97" t="s">
        <v>243</v>
      </c>
      <c r="M33" s="97" t="s">
        <v>192</v>
      </c>
      <c r="N33" s="77" t="s">
        <v>193</v>
      </c>
      <c r="O33" s="58"/>
      <c r="P33" s="34"/>
      <c r="Q33" s="32">
        <v>3</v>
      </c>
      <c r="R33" s="33">
        <v>1</v>
      </c>
      <c r="S33" s="33">
        <v>2</v>
      </c>
      <c r="T33" s="33">
        <v>3</v>
      </c>
      <c r="U33" s="34">
        <v>3</v>
      </c>
      <c r="V33" s="35">
        <f t="shared" si="1"/>
        <v>2.4</v>
      </c>
      <c r="W33" s="33">
        <v>5</v>
      </c>
      <c r="X33" s="36">
        <f t="shared" si="0"/>
        <v>2.4</v>
      </c>
      <c r="Y33" s="6"/>
      <c r="Z33" s="63"/>
      <c r="AA33" s="63"/>
      <c r="AB33" s="63"/>
      <c r="AC33"/>
      <c r="AD33"/>
      <c r="AE33"/>
    </row>
    <row r="34" spans="1:31" s="1" customFormat="1" ht="12.95" customHeight="1" x14ac:dyDescent="0.2">
      <c r="B34" s="456"/>
      <c r="C34" s="32" t="s">
        <v>32</v>
      </c>
      <c r="D34" s="58" t="s">
        <v>134</v>
      </c>
      <c r="E34" s="33" t="s">
        <v>19</v>
      </c>
      <c r="F34" s="32">
        <v>2012</v>
      </c>
      <c r="G34" s="32" t="s">
        <v>262</v>
      </c>
      <c r="H34" s="32" t="s">
        <v>198</v>
      </c>
      <c r="I34" s="32" t="s">
        <v>198</v>
      </c>
      <c r="J34" s="32" t="s">
        <v>198</v>
      </c>
      <c r="K34" s="72" t="s">
        <v>198</v>
      </c>
      <c r="L34" s="97" t="s">
        <v>240</v>
      </c>
      <c r="M34" s="97" t="s">
        <v>192</v>
      </c>
      <c r="N34" s="77" t="s">
        <v>193</v>
      </c>
      <c r="O34" s="58"/>
      <c r="P34" s="34"/>
      <c r="Q34" s="32">
        <v>3</v>
      </c>
      <c r="R34" s="33">
        <v>1</v>
      </c>
      <c r="S34" s="33">
        <v>1</v>
      </c>
      <c r="T34" s="33">
        <v>3</v>
      </c>
      <c r="U34" s="34">
        <v>3</v>
      </c>
      <c r="V34" s="35">
        <f t="shared" si="1"/>
        <v>2.2000000000000002</v>
      </c>
      <c r="W34" s="33">
        <v>5</v>
      </c>
      <c r="X34" s="36">
        <f t="shared" si="0"/>
        <v>2.1999999999999997</v>
      </c>
      <c r="Y34" s="6"/>
      <c r="Z34" s="63"/>
      <c r="AA34" s="63"/>
      <c r="AB34" s="63"/>
      <c r="AC34"/>
      <c r="AD34"/>
      <c r="AE34"/>
    </row>
    <row r="35" spans="1:31" s="1" customFormat="1" ht="12.95" customHeight="1" x14ac:dyDescent="0.2">
      <c r="B35" s="456"/>
      <c r="C35" s="32" t="s">
        <v>32</v>
      </c>
      <c r="D35" s="58" t="s">
        <v>143</v>
      </c>
      <c r="E35" s="33" t="s">
        <v>144</v>
      </c>
      <c r="F35" s="32">
        <v>2011</v>
      </c>
      <c r="G35" s="32" t="s">
        <v>262</v>
      </c>
      <c r="H35" s="152">
        <v>3.3700000000000001E-4</v>
      </c>
      <c r="I35" s="143">
        <v>4.7699999999999999E-4</v>
      </c>
      <c r="J35" s="32">
        <v>0</v>
      </c>
      <c r="K35" s="72">
        <v>7.0000000000000007E-2</v>
      </c>
      <c r="L35" s="97" t="s">
        <v>244</v>
      </c>
      <c r="M35" s="97" t="s">
        <v>192</v>
      </c>
      <c r="N35" s="77" t="s">
        <v>193</v>
      </c>
      <c r="O35" s="58"/>
      <c r="P35" s="34"/>
      <c r="Q35" s="32">
        <v>1</v>
      </c>
      <c r="R35" s="33">
        <v>1</v>
      </c>
      <c r="S35" s="33">
        <v>1</v>
      </c>
      <c r="T35" s="33">
        <v>1</v>
      </c>
      <c r="U35" s="34">
        <v>1</v>
      </c>
      <c r="V35" s="35">
        <f t="shared" si="1"/>
        <v>1</v>
      </c>
      <c r="W35" s="33">
        <v>5</v>
      </c>
      <c r="X35" s="36">
        <f t="shared" si="0"/>
        <v>1</v>
      </c>
      <c r="Y35" s="6"/>
      <c r="Z35" s="63"/>
      <c r="AA35" s="63"/>
      <c r="AB35" s="63"/>
      <c r="AC35"/>
      <c r="AD35"/>
      <c r="AE35"/>
    </row>
    <row r="36" spans="1:31" s="1" customFormat="1" ht="12.95" customHeight="1" x14ac:dyDescent="0.2">
      <c r="B36" s="456"/>
      <c r="C36" s="32" t="s">
        <v>32</v>
      </c>
      <c r="D36" s="58" t="s">
        <v>145</v>
      </c>
      <c r="E36" s="33" t="s">
        <v>19</v>
      </c>
      <c r="F36" s="32">
        <v>2012</v>
      </c>
      <c r="G36" s="32" t="s">
        <v>262</v>
      </c>
      <c r="H36" s="32" t="s">
        <v>198</v>
      </c>
      <c r="I36" s="32" t="s">
        <v>198</v>
      </c>
      <c r="J36" s="32" t="s">
        <v>198</v>
      </c>
      <c r="K36" s="72" t="s">
        <v>198</v>
      </c>
      <c r="L36" s="97" t="s">
        <v>245</v>
      </c>
      <c r="M36" s="97" t="s">
        <v>192</v>
      </c>
      <c r="N36" s="77" t="s">
        <v>193</v>
      </c>
      <c r="O36" s="58"/>
      <c r="P36" s="34"/>
      <c r="Q36" s="32">
        <v>3</v>
      </c>
      <c r="R36" s="33">
        <v>1</v>
      </c>
      <c r="S36" s="33">
        <v>1</v>
      </c>
      <c r="T36" s="33">
        <v>3</v>
      </c>
      <c r="U36" s="34">
        <v>3</v>
      </c>
      <c r="V36" s="35">
        <f t="shared" si="1"/>
        <v>2.2000000000000002</v>
      </c>
      <c r="W36" s="33">
        <v>5</v>
      </c>
      <c r="X36" s="36">
        <f t="shared" si="0"/>
        <v>2.1999999999999997</v>
      </c>
      <c r="Y36" s="6"/>
      <c r="Z36" s="63"/>
      <c r="AA36" s="63"/>
      <c r="AB36" s="63"/>
      <c r="AC36"/>
      <c r="AD36"/>
      <c r="AE36"/>
    </row>
    <row r="37" spans="1:31" s="1" customFormat="1" ht="12.95" customHeight="1" x14ac:dyDescent="0.2">
      <c r="B37" s="456"/>
      <c r="C37" s="32" t="s">
        <v>20</v>
      </c>
      <c r="D37" s="58" t="s">
        <v>142</v>
      </c>
      <c r="E37" s="33" t="s">
        <v>19</v>
      </c>
      <c r="F37" s="32">
        <v>2012</v>
      </c>
      <c r="G37" s="32" t="s">
        <v>262</v>
      </c>
      <c r="H37" s="32">
        <v>0</v>
      </c>
      <c r="I37" s="32">
        <v>0</v>
      </c>
      <c r="J37" s="32">
        <v>2E-3</v>
      </c>
      <c r="K37" s="72">
        <v>0</v>
      </c>
      <c r="L37" s="97" t="s">
        <v>243</v>
      </c>
      <c r="M37" s="97" t="s">
        <v>192</v>
      </c>
      <c r="N37" s="77" t="s">
        <v>193</v>
      </c>
      <c r="O37" s="58"/>
      <c r="P37" s="34"/>
      <c r="Q37" s="32">
        <v>3</v>
      </c>
      <c r="R37" s="33">
        <v>1</v>
      </c>
      <c r="S37" s="33">
        <v>2</v>
      </c>
      <c r="T37" s="33">
        <v>3</v>
      </c>
      <c r="U37" s="34">
        <v>3</v>
      </c>
      <c r="V37" s="35">
        <f t="shared" si="1"/>
        <v>2.4</v>
      </c>
      <c r="W37" s="33">
        <v>5</v>
      </c>
      <c r="X37" s="36">
        <f t="shared" si="0"/>
        <v>2.4</v>
      </c>
      <c r="Y37" s="6"/>
      <c r="Z37" s="63"/>
      <c r="AA37" s="63"/>
      <c r="AB37" s="63"/>
      <c r="AC37"/>
      <c r="AD37"/>
      <c r="AE37"/>
    </row>
    <row r="38" spans="1:31" s="1" customFormat="1" ht="12.95" customHeight="1" x14ac:dyDescent="0.2">
      <c r="B38" s="456"/>
      <c r="C38" s="32" t="s">
        <v>32</v>
      </c>
      <c r="D38" s="59" t="s">
        <v>146</v>
      </c>
      <c r="E38" s="33" t="s">
        <v>19</v>
      </c>
      <c r="F38" s="32">
        <v>2012</v>
      </c>
      <c r="G38" s="32" t="s">
        <v>262</v>
      </c>
      <c r="H38" s="143">
        <v>3.3700000000000001E-4</v>
      </c>
      <c r="I38" s="143">
        <v>4.7699999999999999E-4</v>
      </c>
      <c r="J38" s="32">
        <v>0</v>
      </c>
      <c r="K38" s="72">
        <v>0.01</v>
      </c>
      <c r="L38" s="97" t="s">
        <v>246</v>
      </c>
      <c r="M38" s="97" t="s">
        <v>192</v>
      </c>
      <c r="N38" s="77" t="s">
        <v>193</v>
      </c>
      <c r="O38" s="58"/>
      <c r="P38" s="34"/>
      <c r="Q38" s="32">
        <v>2</v>
      </c>
      <c r="R38" s="33">
        <v>1</v>
      </c>
      <c r="S38" s="33">
        <v>1</v>
      </c>
      <c r="T38" s="33">
        <v>2</v>
      </c>
      <c r="U38" s="34">
        <v>2</v>
      </c>
      <c r="V38" s="35">
        <f t="shared" si="1"/>
        <v>1.6</v>
      </c>
      <c r="W38" s="33">
        <v>5</v>
      </c>
      <c r="X38" s="36">
        <f t="shared" si="0"/>
        <v>1.5999999999999999</v>
      </c>
      <c r="Y38" s="6"/>
      <c r="Z38" s="69"/>
      <c r="AA38" s="63"/>
      <c r="AB38" s="63"/>
      <c r="AC38"/>
      <c r="AD38"/>
      <c r="AE38"/>
    </row>
    <row r="39" spans="1:31" s="1" customFormat="1" ht="12.95" customHeight="1" x14ac:dyDescent="0.2">
      <c r="B39" s="456"/>
      <c r="C39" s="32" t="s">
        <v>20</v>
      </c>
      <c r="D39" s="58" t="s">
        <v>147</v>
      </c>
      <c r="E39" s="33" t="s">
        <v>19</v>
      </c>
      <c r="F39" s="32">
        <v>2012</v>
      </c>
      <c r="G39" s="32" t="s">
        <v>262</v>
      </c>
      <c r="H39" s="144">
        <v>9.6199999999999994E-2</v>
      </c>
      <c r="I39" s="144">
        <v>5.2999999999999999E-2</v>
      </c>
      <c r="J39" s="144">
        <v>1.49E-2</v>
      </c>
      <c r="K39" s="351">
        <v>0.1</v>
      </c>
      <c r="L39" s="346" t="s">
        <v>464</v>
      </c>
      <c r="M39" s="346" t="s">
        <v>465</v>
      </c>
      <c r="N39" s="347" t="s">
        <v>463</v>
      </c>
      <c r="O39" s="348" t="s">
        <v>462</v>
      </c>
      <c r="P39" s="34"/>
      <c r="Q39" s="32">
        <v>2</v>
      </c>
      <c r="R39" s="33">
        <v>1</v>
      </c>
      <c r="S39" s="33">
        <v>2</v>
      </c>
      <c r="T39" s="33">
        <v>2</v>
      </c>
      <c r="U39" s="34">
        <v>3</v>
      </c>
      <c r="V39" s="35">
        <f t="shared" si="1"/>
        <v>2</v>
      </c>
      <c r="W39" s="33">
        <v>5</v>
      </c>
      <c r="X39" s="36">
        <f t="shared" si="0"/>
        <v>2</v>
      </c>
      <c r="Y39" s="6"/>
      <c r="Z39" s="6"/>
      <c r="AA39" s="63"/>
      <c r="AB39" s="63"/>
      <c r="AC39"/>
      <c r="AD39"/>
      <c r="AE39"/>
    </row>
    <row r="40" spans="1:31" s="1" customFormat="1" ht="12.95" customHeight="1" x14ac:dyDescent="0.2">
      <c r="B40" s="451" t="s">
        <v>148</v>
      </c>
      <c r="C40" s="32" t="s">
        <v>32</v>
      </c>
      <c r="D40" s="58" t="s">
        <v>149</v>
      </c>
      <c r="E40" s="33" t="s">
        <v>19</v>
      </c>
      <c r="F40" s="32">
        <v>2012</v>
      </c>
      <c r="G40" s="32" t="s">
        <v>262</v>
      </c>
      <c r="H40" s="143">
        <v>3.0400000000000002E-4</v>
      </c>
      <c r="I40" s="143">
        <v>4.2999999999999999E-4</v>
      </c>
      <c r="J40" s="32">
        <v>0</v>
      </c>
      <c r="K40" s="72">
        <v>0.06</v>
      </c>
      <c r="L40" s="97" t="s">
        <v>194</v>
      </c>
      <c r="M40" s="76" t="s">
        <v>192</v>
      </c>
      <c r="N40" s="77" t="s">
        <v>193</v>
      </c>
      <c r="O40" s="58"/>
      <c r="P40" s="34"/>
      <c r="Q40" s="32">
        <v>2</v>
      </c>
      <c r="R40" s="33">
        <v>1</v>
      </c>
      <c r="S40" s="33">
        <v>1</v>
      </c>
      <c r="T40" s="33">
        <v>2</v>
      </c>
      <c r="U40" s="34">
        <v>2</v>
      </c>
      <c r="V40" s="35">
        <f t="shared" si="1"/>
        <v>1.6</v>
      </c>
      <c r="W40" s="33">
        <v>5</v>
      </c>
      <c r="X40" s="36">
        <f t="shared" si="0"/>
        <v>1.5999999999999999</v>
      </c>
      <c r="Y40" s="6"/>
      <c r="Z40" s="63"/>
      <c r="AA40" s="63"/>
      <c r="AB40" s="63"/>
      <c r="AC40"/>
      <c r="AD40"/>
      <c r="AE40"/>
    </row>
    <row r="41" spans="1:31" s="1" customFormat="1" ht="12.95" customHeight="1" x14ac:dyDescent="0.2">
      <c r="B41" s="457"/>
      <c r="C41" s="80" t="s">
        <v>20</v>
      </c>
      <c r="D41" s="160" t="s">
        <v>150</v>
      </c>
      <c r="E41" s="33" t="s">
        <v>19</v>
      </c>
      <c r="F41" s="32">
        <v>2012</v>
      </c>
      <c r="G41" s="80" t="s">
        <v>262</v>
      </c>
      <c r="H41" s="80">
        <v>0</v>
      </c>
      <c r="I41" s="80">
        <v>0</v>
      </c>
      <c r="J41" s="80">
        <v>0.71</v>
      </c>
      <c r="K41" s="102">
        <v>0</v>
      </c>
      <c r="L41" s="99" t="s">
        <v>243</v>
      </c>
      <c r="M41" s="99" t="s">
        <v>192</v>
      </c>
      <c r="N41" s="88" t="s">
        <v>201</v>
      </c>
      <c r="O41" s="159"/>
      <c r="P41" s="34"/>
      <c r="Q41" s="32">
        <v>1</v>
      </c>
      <c r="R41" s="33">
        <v>1</v>
      </c>
      <c r="S41" s="33">
        <v>2</v>
      </c>
      <c r="T41" s="33">
        <v>2</v>
      </c>
      <c r="U41" s="34">
        <v>2</v>
      </c>
      <c r="V41" s="35">
        <f t="shared" si="1"/>
        <v>1.6</v>
      </c>
      <c r="W41" s="33">
        <v>5</v>
      </c>
      <c r="X41" s="36">
        <f t="shared" si="0"/>
        <v>1.5999999999999999</v>
      </c>
      <c r="Y41" s="6"/>
      <c r="Z41" s="63"/>
      <c r="AA41" s="63"/>
      <c r="AB41" s="63"/>
      <c r="AC41"/>
      <c r="AD41"/>
      <c r="AE41"/>
    </row>
    <row r="42" spans="1:31" s="4" customFormat="1" ht="12.95" customHeight="1" x14ac:dyDescent="0.2">
      <c r="A42" s="3"/>
      <c r="B42" s="457"/>
      <c r="C42" s="32" t="s">
        <v>29</v>
      </c>
      <c r="D42" s="58" t="s">
        <v>49</v>
      </c>
      <c r="E42" s="33" t="s">
        <v>50</v>
      </c>
      <c r="F42" s="32">
        <v>2007</v>
      </c>
      <c r="G42" s="32" t="s">
        <v>262</v>
      </c>
      <c r="H42" s="32" t="s">
        <v>198</v>
      </c>
      <c r="I42" s="32" t="s">
        <v>198</v>
      </c>
      <c r="J42" s="32" t="s">
        <v>198</v>
      </c>
      <c r="K42" s="72" t="s">
        <v>198</v>
      </c>
      <c r="L42" s="61" t="s">
        <v>198</v>
      </c>
      <c r="M42" s="96" t="s">
        <v>198</v>
      </c>
      <c r="N42" s="96" t="s">
        <v>198</v>
      </c>
      <c r="O42" s="58"/>
      <c r="P42" s="33"/>
      <c r="Q42" s="33">
        <v>1</v>
      </c>
      <c r="R42" s="33">
        <v>2</v>
      </c>
      <c r="S42" s="33">
        <v>2</v>
      </c>
      <c r="T42" s="33">
        <v>2</v>
      </c>
      <c r="U42" s="34">
        <v>1</v>
      </c>
      <c r="V42" s="35">
        <f t="shared" si="1"/>
        <v>1.6</v>
      </c>
      <c r="W42" s="33">
        <v>5</v>
      </c>
      <c r="X42" s="36">
        <f t="shared" si="0"/>
        <v>1.5999999999999999</v>
      </c>
      <c r="Y42" s="67"/>
      <c r="Z42" s="68"/>
      <c r="AA42" s="68"/>
      <c r="AB42" s="68"/>
    </row>
    <row r="43" spans="1:31" s="1" customFormat="1" ht="12.95" customHeight="1" x14ac:dyDescent="0.2">
      <c r="B43" s="457"/>
      <c r="C43" s="32" t="s">
        <v>29</v>
      </c>
      <c r="D43" s="60" t="s">
        <v>91</v>
      </c>
      <c r="E43" s="33" t="s">
        <v>19</v>
      </c>
      <c r="F43" s="32">
        <v>2012</v>
      </c>
      <c r="G43" s="32" t="s">
        <v>262</v>
      </c>
      <c r="H43" s="143">
        <v>3.0600000000000001E-4</v>
      </c>
      <c r="I43" s="143">
        <v>4.3300000000000001E-4</v>
      </c>
      <c r="J43" s="32">
        <v>0</v>
      </c>
      <c r="K43" s="72">
        <v>8.9999999999999993E-3</v>
      </c>
      <c r="L43" s="75" t="s">
        <v>206</v>
      </c>
      <c r="M43" s="76" t="s">
        <v>192</v>
      </c>
      <c r="N43" s="77" t="s">
        <v>193</v>
      </c>
      <c r="O43" s="58"/>
      <c r="P43" s="33"/>
      <c r="Q43" s="33">
        <v>2</v>
      </c>
      <c r="R43" s="33">
        <v>1</v>
      </c>
      <c r="S43" s="33">
        <v>2</v>
      </c>
      <c r="T43" s="33">
        <v>2</v>
      </c>
      <c r="U43" s="34">
        <v>2</v>
      </c>
      <c r="V43" s="35">
        <f t="shared" si="1"/>
        <v>1.8</v>
      </c>
      <c r="W43" s="33">
        <v>5</v>
      </c>
      <c r="X43" s="36">
        <f t="shared" si="0"/>
        <v>1.8</v>
      </c>
      <c r="Y43" s="6"/>
      <c r="Z43" s="63"/>
      <c r="AA43" s="63"/>
      <c r="AB43" s="63"/>
      <c r="AC43"/>
      <c r="AD43"/>
      <c r="AE43"/>
    </row>
    <row r="44" spans="1:31" s="1" customFormat="1" ht="12.95" customHeight="1" x14ac:dyDescent="0.2">
      <c r="B44" s="457"/>
      <c r="C44" s="32" t="s">
        <v>20</v>
      </c>
      <c r="D44" s="58" t="s">
        <v>151</v>
      </c>
      <c r="E44" s="33" t="s">
        <v>19</v>
      </c>
      <c r="F44" s="32">
        <v>2012</v>
      </c>
      <c r="G44" s="32" t="s">
        <v>262</v>
      </c>
      <c r="H44" s="349">
        <v>6.0600000000000001E-2</v>
      </c>
      <c r="I44" s="349">
        <v>3.3399999999999999E-2</v>
      </c>
      <c r="J44" s="349">
        <v>9.4000000000000004E-3</v>
      </c>
      <c r="K44" s="350">
        <v>6.3E-2</v>
      </c>
      <c r="L44" s="97" t="s">
        <v>247</v>
      </c>
      <c r="M44" s="97" t="s">
        <v>192</v>
      </c>
      <c r="N44" s="77" t="s">
        <v>193</v>
      </c>
      <c r="O44" s="161"/>
      <c r="P44" s="34"/>
      <c r="Q44" s="32">
        <v>1</v>
      </c>
      <c r="R44" s="33">
        <v>1</v>
      </c>
      <c r="S44" s="33">
        <v>2</v>
      </c>
      <c r="T44" s="33">
        <v>2</v>
      </c>
      <c r="U44" s="34">
        <v>2</v>
      </c>
      <c r="V44" s="35">
        <f t="shared" si="1"/>
        <v>1.6</v>
      </c>
      <c r="W44" s="33">
        <v>5</v>
      </c>
      <c r="X44" s="36">
        <f t="shared" si="0"/>
        <v>1.5999999999999999</v>
      </c>
      <c r="Y44" s="6"/>
      <c r="Z44" s="69"/>
      <c r="AA44" s="63"/>
      <c r="AB44" s="63"/>
      <c r="AC44"/>
      <c r="AD44"/>
      <c r="AE44"/>
    </row>
    <row r="45" spans="1:31" s="1" customFormat="1" ht="12.95" customHeight="1" x14ac:dyDescent="0.2">
      <c r="B45" s="452"/>
      <c r="C45" s="32" t="s">
        <v>32</v>
      </c>
      <c r="D45" s="31" t="s">
        <v>33</v>
      </c>
      <c r="E45" s="33" t="s">
        <v>19</v>
      </c>
      <c r="F45" s="32">
        <v>2012</v>
      </c>
      <c r="G45" s="32" t="s">
        <v>262</v>
      </c>
      <c r="H45" s="198">
        <v>0.04</v>
      </c>
      <c r="I45" s="198">
        <v>5.0000000000000001E-3</v>
      </c>
      <c r="J45" s="198">
        <v>0.05</v>
      </c>
      <c r="K45" s="208">
        <v>0.05</v>
      </c>
      <c r="L45" s="75" t="s">
        <v>285</v>
      </c>
      <c r="M45" s="76" t="s">
        <v>192</v>
      </c>
      <c r="N45" s="77" t="s">
        <v>193</v>
      </c>
      <c r="O45" s="58"/>
      <c r="P45" s="34"/>
      <c r="Q45" s="34">
        <v>3</v>
      </c>
      <c r="R45" s="33">
        <v>1</v>
      </c>
      <c r="S45" s="33">
        <v>1</v>
      </c>
      <c r="T45" s="33">
        <v>3</v>
      </c>
      <c r="U45" s="34">
        <v>3</v>
      </c>
      <c r="V45" s="35">
        <f t="shared" si="1"/>
        <v>2.2000000000000002</v>
      </c>
      <c r="W45" s="33">
        <v>5</v>
      </c>
      <c r="X45" s="36">
        <f t="shared" si="0"/>
        <v>2.1999999999999997</v>
      </c>
      <c r="Y45" s="6"/>
      <c r="Z45" s="63"/>
      <c r="AA45" s="63"/>
      <c r="AB45" s="63"/>
      <c r="AC45"/>
      <c r="AD45"/>
      <c r="AE45"/>
    </row>
    <row r="46" spans="1:31" s="1" customFormat="1" ht="12.95" customHeight="1" x14ac:dyDescent="0.2">
      <c r="B46" s="458" t="s">
        <v>271</v>
      </c>
      <c r="C46" s="73" t="s">
        <v>32</v>
      </c>
      <c r="D46" s="58" t="s">
        <v>143</v>
      </c>
      <c r="E46" s="33" t="s">
        <v>144</v>
      </c>
      <c r="F46" s="32">
        <v>2011</v>
      </c>
      <c r="G46" s="32" t="s">
        <v>262</v>
      </c>
      <c r="H46" s="32">
        <v>1.15E-3</v>
      </c>
      <c r="I46" s="32">
        <v>3.7500000000000001E-4</v>
      </c>
      <c r="J46" s="32">
        <v>0</v>
      </c>
      <c r="K46" s="72">
        <v>0.04</v>
      </c>
      <c r="L46" s="97" t="s">
        <v>244</v>
      </c>
      <c r="M46" s="97" t="s">
        <v>192</v>
      </c>
      <c r="N46" s="77" t="s">
        <v>193</v>
      </c>
      <c r="O46" s="58"/>
      <c r="P46" s="34"/>
      <c r="Q46" s="34"/>
      <c r="R46" s="33"/>
      <c r="S46" s="33"/>
      <c r="T46" s="33"/>
      <c r="U46" s="34"/>
      <c r="V46" s="35"/>
      <c r="W46" s="33"/>
      <c r="X46" s="36"/>
      <c r="Y46" s="6"/>
      <c r="Z46" s="63"/>
      <c r="AA46" s="63"/>
      <c r="AB46" s="63"/>
      <c r="AC46"/>
      <c r="AD46"/>
      <c r="AE46"/>
    </row>
    <row r="47" spans="1:31" s="1" customFormat="1" ht="12.95" customHeight="1" x14ac:dyDescent="0.2">
      <c r="B47" s="458"/>
      <c r="C47" s="73" t="s">
        <v>32</v>
      </c>
      <c r="D47" s="59" t="s">
        <v>146</v>
      </c>
      <c r="E47" s="33" t="s">
        <v>19</v>
      </c>
      <c r="F47" s="32">
        <v>2012</v>
      </c>
      <c r="G47" s="32" t="s">
        <v>262</v>
      </c>
      <c r="H47" s="32">
        <v>1.9099999999999999E-2</v>
      </c>
      <c r="I47" s="32">
        <v>1.8700000000000001E-2</v>
      </c>
      <c r="J47" s="32">
        <v>2.1100000000000001E-2</v>
      </c>
      <c r="K47" s="72">
        <v>0</v>
      </c>
      <c r="L47" s="97" t="s">
        <v>246</v>
      </c>
      <c r="M47" s="97" t="s">
        <v>192</v>
      </c>
      <c r="N47" s="77" t="s">
        <v>193</v>
      </c>
      <c r="O47" s="58"/>
      <c r="P47" s="34"/>
      <c r="Q47" s="34"/>
      <c r="R47" s="33"/>
      <c r="S47" s="33"/>
      <c r="T47" s="33"/>
      <c r="U47" s="34"/>
      <c r="V47" s="35"/>
      <c r="W47" s="33"/>
      <c r="X47" s="36"/>
      <c r="Y47" s="6"/>
      <c r="Z47" s="63"/>
      <c r="AA47" s="63"/>
      <c r="AB47" s="63"/>
      <c r="AC47"/>
      <c r="AD47"/>
      <c r="AE47"/>
    </row>
    <row r="48" spans="1:31" s="1" customFormat="1" ht="12.95" customHeight="1" x14ac:dyDescent="0.2">
      <c r="B48" s="458"/>
      <c r="C48" s="73" t="s">
        <v>20</v>
      </c>
      <c r="D48" s="58" t="s">
        <v>142</v>
      </c>
      <c r="E48" s="33" t="s">
        <v>19</v>
      </c>
      <c r="F48" s="32">
        <v>2012</v>
      </c>
      <c r="G48" s="32" t="s">
        <v>262</v>
      </c>
      <c r="H48" s="32">
        <v>1.09E-2</v>
      </c>
      <c r="I48" s="32">
        <v>1.06E-2</v>
      </c>
      <c r="J48" s="32">
        <v>1.2E-2</v>
      </c>
      <c r="K48" s="72">
        <v>9.8799999999999999E-2</v>
      </c>
      <c r="L48" s="97" t="s">
        <v>243</v>
      </c>
      <c r="M48" s="97" t="s">
        <v>192</v>
      </c>
      <c r="N48" s="77" t="s">
        <v>193</v>
      </c>
      <c r="O48" s="58"/>
      <c r="P48" s="34"/>
      <c r="Q48" s="34"/>
      <c r="R48" s="33"/>
      <c r="S48" s="33"/>
      <c r="T48" s="33"/>
      <c r="U48" s="34"/>
      <c r="V48" s="35"/>
      <c r="W48" s="33"/>
      <c r="X48" s="36"/>
      <c r="Y48" s="6"/>
      <c r="Z48" s="63"/>
      <c r="AA48" s="63"/>
      <c r="AB48" s="63"/>
      <c r="AC48"/>
      <c r="AD48"/>
      <c r="AE48"/>
    </row>
    <row r="49" spans="2:31" s="1" customFormat="1" ht="12.95" customHeight="1" x14ac:dyDescent="0.2">
      <c r="B49" s="458"/>
      <c r="C49" s="73" t="s">
        <v>20</v>
      </c>
      <c r="D49" s="58" t="s">
        <v>147</v>
      </c>
      <c r="E49" s="33" t="s">
        <v>19</v>
      </c>
      <c r="F49" s="32">
        <v>2012</v>
      </c>
      <c r="G49" s="32" t="s">
        <v>262</v>
      </c>
      <c r="H49" s="144">
        <v>0.153</v>
      </c>
      <c r="I49" s="32">
        <v>0.15</v>
      </c>
      <c r="J49" s="144">
        <v>0.16800000000000001</v>
      </c>
      <c r="K49" s="72">
        <v>5.2999999999999999E-2</v>
      </c>
      <c r="L49" s="346" t="s">
        <v>464</v>
      </c>
      <c r="M49" s="346" t="s">
        <v>465</v>
      </c>
      <c r="N49" s="347" t="s">
        <v>463</v>
      </c>
      <c r="O49" s="348" t="s">
        <v>462</v>
      </c>
      <c r="P49" s="34"/>
      <c r="Q49" s="34"/>
      <c r="R49" s="33"/>
      <c r="S49" s="33"/>
      <c r="T49" s="33"/>
      <c r="U49" s="34"/>
      <c r="V49" s="35"/>
      <c r="W49" s="33"/>
      <c r="X49" s="36"/>
      <c r="Y49" s="6"/>
      <c r="Z49" s="63"/>
      <c r="AA49" s="63"/>
      <c r="AB49" s="63"/>
      <c r="AC49"/>
      <c r="AD49"/>
      <c r="AE49"/>
    </row>
    <row r="50" spans="2:31" s="1" customFormat="1" ht="12.95" customHeight="1" x14ac:dyDescent="0.2">
      <c r="B50" s="451" t="s">
        <v>268</v>
      </c>
      <c r="C50" s="32" t="s">
        <v>32</v>
      </c>
      <c r="D50" s="59" t="s">
        <v>146</v>
      </c>
      <c r="E50" s="33" t="s">
        <v>19</v>
      </c>
      <c r="F50" s="32">
        <v>2012</v>
      </c>
      <c r="G50" s="32" t="s">
        <v>262</v>
      </c>
      <c r="H50" s="152">
        <v>1.27E-9</v>
      </c>
      <c r="I50" s="143">
        <v>1.2400000000000001E-9</v>
      </c>
      <c r="J50" s="143">
        <v>6.9799999999999997E-10</v>
      </c>
      <c r="K50" s="143">
        <v>1.0472651933668599E-9</v>
      </c>
      <c r="L50" s="97" t="s">
        <v>246</v>
      </c>
      <c r="M50" s="97" t="s">
        <v>192</v>
      </c>
      <c r="N50" s="77" t="s">
        <v>193</v>
      </c>
      <c r="O50" s="31"/>
      <c r="P50" s="34"/>
      <c r="Q50" s="32">
        <v>3</v>
      </c>
      <c r="R50" s="33">
        <v>1</v>
      </c>
      <c r="S50" s="33">
        <v>1</v>
      </c>
      <c r="T50" s="33">
        <v>3</v>
      </c>
      <c r="U50" s="34">
        <v>3</v>
      </c>
      <c r="V50" s="35">
        <f t="shared" si="1"/>
        <v>2.2000000000000002</v>
      </c>
      <c r="W50" s="33">
        <v>5</v>
      </c>
      <c r="X50" s="36">
        <f t="shared" si="0"/>
        <v>2.1999999999999997</v>
      </c>
      <c r="Y50" s="6"/>
      <c r="Z50" s="63"/>
      <c r="AA50" s="63"/>
      <c r="AB50" s="63"/>
      <c r="AC50"/>
      <c r="AD50"/>
      <c r="AE50"/>
    </row>
    <row r="51" spans="2:31" s="1" customFormat="1" ht="12.95" customHeight="1" x14ac:dyDescent="0.2">
      <c r="B51" s="457"/>
      <c r="C51" s="73" t="s">
        <v>32</v>
      </c>
      <c r="D51" s="31" t="s">
        <v>152</v>
      </c>
      <c r="E51" s="33" t="s">
        <v>19</v>
      </c>
      <c r="F51" s="32">
        <v>2012</v>
      </c>
      <c r="G51" s="32" t="s">
        <v>262</v>
      </c>
      <c r="H51" s="143">
        <v>2.9899999999999998E-16</v>
      </c>
      <c r="I51" s="143">
        <v>2.9299999999999998E-16</v>
      </c>
      <c r="J51" s="143">
        <v>1.6499999999999999E-16</v>
      </c>
      <c r="K51" s="148">
        <v>2.4700000000000002E-16</v>
      </c>
      <c r="L51" s="97" t="s">
        <v>248</v>
      </c>
      <c r="M51" s="97" t="s">
        <v>192</v>
      </c>
      <c r="N51" s="77" t="s">
        <v>193</v>
      </c>
      <c r="O51" s="58"/>
      <c r="P51" s="34"/>
      <c r="Q51" s="32"/>
      <c r="R51" s="33"/>
      <c r="S51" s="33"/>
      <c r="T51" s="33"/>
      <c r="U51" s="34"/>
      <c r="V51" s="35"/>
      <c r="W51" s="33"/>
      <c r="X51" s="36"/>
      <c r="Y51" s="6"/>
      <c r="Z51" s="63"/>
      <c r="AA51" s="63"/>
      <c r="AB51" s="63"/>
      <c r="AC51"/>
      <c r="AD51"/>
      <c r="AE51"/>
    </row>
    <row r="52" spans="2:31" s="1" customFormat="1" ht="12.95" customHeight="1" x14ac:dyDescent="0.2">
      <c r="B52" s="457"/>
      <c r="C52" s="73" t="s">
        <v>32</v>
      </c>
      <c r="D52" s="31" t="s">
        <v>153</v>
      </c>
      <c r="E52" s="33" t="s">
        <v>19</v>
      </c>
      <c r="F52" s="32">
        <v>2012</v>
      </c>
      <c r="G52" s="32" t="s">
        <v>262</v>
      </c>
      <c r="H52" s="143">
        <v>1.35E-16</v>
      </c>
      <c r="I52" s="143">
        <v>1.32E-16</v>
      </c>
      <c r="J52" s="143">
        <v>7.4399999999999999E-17</v>
      </c>
      <c r="K52" s="148">
        <v>1.12E-16</v>
      </c>
      <c r="L52" s="97" t="s">
        <v>249</v>
      </c>
      <c r="M52" s="97" t="s">
        <v>192</v>
      </c>
      <c r="N52" s="77" t="s">
        <v>193</v>
      </c>
      <c r="O52" s="58"/>
      <c r="P52" s="34"/>
      <c r="Q52" s="32">
        <v>3</v>
      </c>
      <c r="R52" s="33">
        <v>1</v>
      </c>
      <c r="S52" s="33">
        <v>1</v>
      </c>
      <c r="T52" s="33">
        <v>3</v>
      </c>
      <c r="U52" s="34">
        <v>3</v>
      </c>
      <c r="V52" s="35">
        <f t="shared" si="1"/>
        <v>2.2000000000000002</v>
      </c>
      <c r="W52" s="33">
        <v>5</v>
      </c>
      <c r="X52" s="36">
        <f t="shared" si="0"/>
        <v>2.1999999999999997</v>
      </c>
      <c r="Y52" s="6"/>
      <c r="Z52" s="63"/>
      <c r="AA52" s="63"/>
      <c r="AB52" s="63"/>
      <c r="AC52"/>
      <c r="AD52"/>
      <c r="AE52"/>
    </row>
    <row r="53" spans="2:31" s="1" customFormat="1" ht="12.95" customHeight="1" x14ac:dyDescent="0.2">
      <c r="B53" s="457"/>
      <c r="C53" s="73" t="s">
        <v>32</v>
      </c>
      <c r="D53" s="31" t="s">
        <v>154</v>
      </c>
      <c r="E53" s="33" t="s">
        <v>19</v>
      </c>
      <c r="F53" s="32">
        <v>2012</v>
      </c>
      <c r="G53" s="32" t="s">
        <v>262</v>
      </c>
      <c r="H53" s="143">
        <v>1.8100000000000001E-13</v>
      </c>
      <c r="I53" s="143">
        <v>1.78E-13</v>
      </c>
      <c r="J53" s="143">
        <v>9.9999999999999998E-13</v>
      </c>
      <c r="K53" s="148">
        <v>1.4999999999999999E-13</v>
      </c>
      <c r="L53" s="97" t="s">
        <v>250</v>
      </c>
      <c r="M53" s="97" t="s">
        <v>192</v>
      </c>
      <c r="N53" s="77" t="s">
        <v>193</v>
      </c>
      <c r="O53" s="58"/>
      <c r="P53" s="34"/>
      <c r="Q53" s="32">
        <v>3</v>
      </c>
      <c r="R53" s="33">
        <v>1</v>
      </c>
      <c r="S53" s="33">
        <v>1</v>
      </c>
      <c r="T53" s="33">
        <v>3</v>
      </c>
      <c r="U53" s="34">
        <v>3</v>
      </c>
      <c r="V53" s="35">
        <f t="shared" si="1"/>
        <v>2.2000000000000002</v>
      </c>
      <c r="W53" s="33">
        <v>5</v>
      </c>
      <c r="X53" s="36">
        <f t="shared" si="0"/>
        <v>2.1999999999999997</v>
      </c>
      <c r="Y53" s="6"/>
      <c r="Z53" s="63"/>
      <c r="AA53" s="63"/>
      <c r="AB53" s="63"/>
      <c r="AC53"/>
      <c r="AD53"/>
      <c r="AE53"/>
    </row>
    <row r="54" spans="2:31" s="1" customFormat="1" ht="12.95" customHeight="1" x14ac:dyDescent="0.2">
      <c r="B54" s="451" t="s">
        <v>270</v>
      </c>
      <c r="C54" s="32" t="s">
        <v>32</v>
      </c>
      <c r="D54" s="58" t="s">
        <v>149</v>
      </c>
      <c r="E54" s="33" t="s">
        <v>19</v>
      </c>
      <c r="F54" s="32">
        <v>2012</v>
      </c>
      <c r="G54" s="32" t="s">
        <v>262</v>
      </c>
      <c r="H54" s="32">
        <v>1.0300000000000001E-3</v>
      </c>
      <c r="I54" s="32">
        <v>3.3799999999999998E-4</v>
      </c>
      <c r="J54" s="32">
        <v>0</v>
      </c>
      <c r="K54" s="72">
        <v>0.03</v>
      </c>
      <c r="L54" s="97" t="s">
        <v>194</v>
      </c>
      <c r="M54" s="76" t="s">
        <v>192</v>
      </c>
      <c r="N54" s="77" t="s">
        <v>193</v>
      </c>
      <c r="O54" s="58"/>
      <c r="P54" s="34"/>
      <c r="Q54" s="32"/>
      <c r="R54" s="33"/>
      <c r="S54" s="33"/>
      <c r="T54" s="33"/>
      <c r="U54" s="34"/>
      <c r="V54" s="35"/>
      <c r="W54" s="33"/>
      <c r="X54" s="36"/>
      <c r="Y54" s="6"/>
      <c r="Z54" s="63"/>
      <c r="AA54" s="63"/>
      <c r="AB54" s="63"/>
      <c r="AC54"/>
      <c r="AD54"/>
      <c r="AE54"/>
    </row>
    <row r="55" spans="2:31" s="1" customFormat="1" ht="12.95" customHeight="1" x14ac:dyDescent="0.2">
      <c r="B55" s="457"/>
      <c r="C55" s="32" t="s">
        <v>29</v>
      </c>
      <c r="D55" s="60" t="s">
        <v>91</v>
      </c>
      <c r="E55" s="33" t="s">
        <v>19</v>
      </c>
      <c r="F55" s="32">
        <v>2012</v>
      </c>
      <c r="G55" s="32" t="s">
        <v>262</v>
      </c>
      <c r="H55" s="32">
        <v>1.7399999999999999E-2</v>
      </c>
      <c r="I55" s="32">
        <v>1.7000000000000001E-2</v>
      </c>
      <c r="J55" s="32">
        <v>1.9099999999999999E-2</v>
      </c>
      <c r="K55" s="72">
        <v>0</v>
      </c>
      <c r="L55" s="75" t="s">
        <v>206</v>
      </c>
      <c r="M55" s="76" t="s">
        <v>192</v>
      </c>
      <c r="N55" s="77" t="s">
        <v>193</v>
      </c>
      <c r="O55" s="58"/>
      <c r="P55" s="34"/>
      <c r="Q55" s="32"/>
      <c r="R55" s="33"/>
      <c r="S55" s="33"/>
      <c r="T55" s="33"/>
      <c r="U55" s="34"/>
      <c r="V55" s="35"/>
      <c r="W55" s="33"/>
      <c r="X55" s="36"/>
      <c r="Y55" s="6"/>
      <c r="Z55" s="63"/>
      <c r="AA55" s="63"/>
      <c r="AB55" s="63"/>
      <c r="AC55"/>
      <c r="AD55"/>
      <c r="AE55"/>
    </row>
    <row r="56" spans="2:31" s="1" customFormat="1" ht="12.95" customHeight="1" x14ac:dyDescent="0.2">
      <c r="B56" s="457"/>
      <c r="C56" s="32" t="s">
        <v>32</v>
      </c>
      <c r="D56" s="31" t="s">
        <v>33</v>
      </c>
      <c r="E56" s="33" t="s">
        <v>19</v>
      </c>
      <c r="G56" s="32" t="s">
        <v>262</v>
      </c>
      <c r="H56" s="198">
        <v>0.01</v>
      </c>
      <c r="I56" s="198">
        <v>0.01</v>
      </c>
      <c r="J56" s="198">
        <v>0.75</v>
      </c>
      <c r="K56" s="208">
        <v>0.09</v>
      </c>
      <c r="L56" s="75" t="s">
        <v>231</v>
      </c>
      <c r="M56" s="76" t="s">
        <v>192</v>
      </c>
      <c r="N56" s="77" t="s">
        <v>193</v>
      </c>
      <c r="O56" s="58"/>
      <c r="P56" s="34"/>
      <c r="Q56" s="32"/>
      <c r="R56" s="33"/>
      <c r="S56" s="33"/>
      <c r="T56" s="33"/>
      <c r="U56" s="34"/>
      <c r="V56" s="35"/>
      <c r="W56" s="33"/>
      <c r="X56" s="36"/>
      <c r="Y56" s="6"/>
      <c r="Z56" s="63"/>
      <c r="AA56" s="63"/>
      <c r="AB56" s="63"/>
      <c r="AC56"/>
      <c r="AD56"/>
      <c r="AE56"/>
    </row>
    <row r="57" spans="2:31" s="1" customFormat="1" ht="12.95" customHeight="1" x14ac:dyDescent="0.2">
      <c r="B57" s="452"/>
      <c r="C57" s="32" t="s">
        <v>20</v>
      </c>
      <c r="D57" s="58" t="s">
        <v>151</v>
      </c>
      <c r="E57" s="33" t="s">
        <v>19</v>
      </c>
      <c r="F57" s="32">
        <v>2012</v>
      </c>
      <c r="G57" s="32" t="s">
        <v>262</v>
      </c>
      <c r="H57" s="144">
        <v>9.6299999999999997E-2</v>
      </c>
      <c r="I57" s="144">
        <v>9.4500000000000001E-2</v>
      </c>
      <c r="J57" s="144">
        <v>0.106</v>
      </c>
      <c r="K57" s="351">
        <v>3.32E-2</v>
      </c>
      <c r="L57" s="97" t="s">
        <v>247</v>
      </c>
      <c r="M57" s="97" t="s">
        <v>192</v>
      </c>
      <c r="N57" s="77" t="s">
        <v>193</v>
      </c>
      <c r="O57" s="58"/>
      <c r="P57" s="34"/>
      <c r="Q57" s="32">
        <v>2</v>
      </c>
      <c r="R57" s="33">
        <v>1</v>
      </c>
      <c r="S57" s="33">
        <v>1</v>
      </c>
      <c r="T57" s="33">
        <v>2</v>
      </c>
      <c r="U57" s="34">
        <v>2</v>
      </c>
      <c r="V57" s="35">
        <f>AVERAGE(Q57:U57)</f>
        <v>1.6</v>
      </c>
      <c r="W57" s="33">
        <v>5</v>
      </c>
      <c r="X57" s="36">
        <f>AVERAGE(Q57:V57)</f>
        <v>1.5999999999999999</v>
      </c>
      <c r="Y57" s="6"/>
      <c r="Z57" s="63"/>
      <c r="AA57" s="63"/>
      <c r="AB57" s="63"/>
      <c r="AC57"/>
      <c r="AD57"/>
      <c r="AE57"/>
    </row>
    <row r="58" spans="2:31" s="1" customFormat="1" ht="12.95" customHeight="1" x14ac:dyDescent="0.2">
      <c r="B58" s="451" t="s">
        <v>269</v>
      </c>
      <c r="C58" s="32" t="s">
        <v>29</v>
      </c>
      <c r="D58" s="60" t="s">
        <v>91</v>
      </c>
      <c r="E58" s="33" t="s">
        <v>19</v>
      </c>
      <c r="F58" s="32">
        <v>2012</v>
      </c>
      <c r="G58" s="32" t="s">
        <v>262</v>
      </c>
      <c r="H58" s="146">
        <v>1.15E-9</v>
      </c>
      <c r="I58" s="146">
        <v>1.13E-9</v>
      </c>
      <c r="J58" s="146">
        <v>6.3399999999999998E-10</v>
      </c>
      <c r="K58" s="150">
        <v>9.5200000000000002E-10</v>
      </c>
      <c r="L58" s="75" t="s">
        <v>206</v>
      </c>
      <c r="M58" s="76" t="s">
        <v>192</v>
      </c>
      <c r="N58" s="77" t="s">
        <v>193</v>
      </c>
      <c r="O58" s="58"/>
      <c r="P58" s="34"/>
      <c r="Q58" s="32"/>
      <c r="R58" s="33"/>
      <c r="S58" s="33"/>
      <c r="T58" s="33"/>
      <c r="U58" s="34"/>
      <c r="V58" s="35"/>
      <c r="W58" s="33"/>
      <c r="X58" s="36"/>
      <c r="Y58" s="6"/>
      <c r="Z58" s="63"/>
      <c r="AA58" s="63"/>
      <c r="AB58" s="63"/>
      <c r="AC58"/>
      <c r="AD58"/>
      <c r="AE58"/>
    </row>
    <row r="59" spans="2:31" s="1" customFormat="1" ht="12.95" customHeight="1" x14ac:dyDescent="0.2">
      <c r="B59" s="457"/>
      <c r="C59" s="32" t="s">
        <v>29</v>
      </c>
      <c r="D59" s="58" t="s">
        <v>157</v>
      </c>
      <c r="E59" s="33" t="s">
        <v>19</v>
      </c>
      <c r="F59" s="32">
        <v>2012</v>
      </c>
      <c r="G59" s="32" t="s">
        <v>262</v>
      </c>
      <c r="H59" s="147">
        <v>2.9299999999999998E-16</v>
      </c>
      <c r="I59" s="147">
        <v>2.8699999999999998E-16</v>
      </c>
      <c r="J59" s="147">
        <v>1.61E-16</v>
      </c>
      <c r="K59" s="149">
        <v>2.4199999999999999E-16</v>
      </c>
      <c r="L59" s="97" t="s">
        <v>252</v>
      </c>
      <c r="M59" s="97" t="s">
        <v>29</v>
      </c>
      <c r="N59" s="77" t="s">
        <v>193</v>
      </c>
      <c r="O59" s="58"/>
      <c r="P59" s="34"/>
      <c r="Q59" s="32">
        <v>3</v>
      </c>
      <c r="R59" s="33">
        <v>1</v>
      </c>
      <c r="S59" s="33">
        <v>2</v>
      </c>
      <c r="T59" s="33">
        <v>2</v>
      </c>
      <c r="U59" s="34">
        <v>2</v>
      </c>
      <c r="V59" s="35">
        <f t="shared" si="1"/>
        <v>2</v>
      </c>
      <c r="W59" s="33">
        <v>5</v>
      </c>
      <c r="X59" s="36">
        <f t="shared" si="0"/>
        <v>2</v>
      </c>
      <c r="Y59" s="6"/>
      <c r="Z59" s="63"/>
      <c r="AA59" s="63"/>
      <c r="AB59" s="63"/>
      <c r="AC59"/>
      <c r="AD59"/>
      <c r="AE59"/>
    </row>
    <row r="60" spans="2:31" s="1" customFormat="1" ht="12.95" customHeight="1" x14ac:dyDescent="0.2">
      <c r="B60" s="457"/>
      <c r="C60" s="32" t="s">
        <v>29</v>
      </c>
      <c r="D60" s="58" t="s">
        <v>158</v>
      </c>
      <c r="E60" s="33" t="s">
        <v>19</v>
      </c>
      <c r="F60" s="32">
        <v>2012</v>
      </c>
      <c r="G60" s="32" t="s">
        <v>262</v>
      </c>
      <c r="H60" s="143">
        <v>1.32E-16</v>
      </c>
      <c r="I60" s="143">
        <v>1.2999999999999999E-16</v>
      </c>
      <c r="J60" s="143">
        <v>7.2899999999999999E-17</v>
      </c>
      <c r="K60" s="148">
        <v>1.09E-16</v>
      </c>
      <c r="L60" s="97" t="s">
        <v>253</v>
      </c>
      <c r="M60" s="97" t="s">
        <v>29</v>
      </c>
      <c r="N60" s="77" t="s">
        <v>193</v>
      </c>
      <c r="O60" s="58"/>
      <c r="P60" s="34"/>
      <c r="Q60" s="32"/>
      <c r="R60" s="33"/>
      <c r="S60" s="33"/>
      <c r="T60" s="33"/>
      <c r="U60" s="34"/>
      <c r="V60" s="35"/>
      <c r="W60" s="33"/>
      <c r="X60" s="36"/>
      <c r="Y60" s="6"/>
      <c r="Z60" s="63"/>
      <c r="AA60" s="63"/>
      <c r="AB60" s="63"/>
      <c r="AC60"/>
      <c r="AD60"/>
      <c r="AE60"/>
    </row>
    <row r="61" spans="2:31" s="1" customFormat="1" ht="12.95" customHeight="1" x14ac:dyDescent="0.2">
      <c r="B61" s="457"/>
      <c r="C61" s="70" t="s">
        <v>29</v>
      </c>
      <c r="D61" s="59" t="s">
        <v>159</v>
      </c>
      <c r="E61" s="83" t="s">
        <v>19</v>
      </c>
      <c r="F61" s="70">
        <v>2012</v>
      </c>
      <c r="G61" s="70" t="s">
        <v>262</v>
      </c>
      <c r="H61" s="146">
        <v>1.77E-13</v>
      </c>
      <c r="I61" s="146">
        <v>1.174E-12</v>
      </c>
      <c r="J61" s="146">
        <v>9.7700000000000003E-14</v>
      </c>
      <c r="K61" s="150">
        <v>1.47E-13</v>
      </c>
      <c r="L61" s="97" t="s">
        <v>254</v>
      </c>
      <c r="M61" s="97" t="s">
        <v>29</v>
      </c>
      <c r="N61" s="77" t="s">
        <v>193</v>
      </c>
      <c r="O61" s="58"/>
      <c r="P61" s="34"/>
      <c r="Q61" s="32"/>
      <c r="R61" s="33"/>
      <c r="S61" s="33"/>
      <c r="T61" s="33"/>
      <c r="U61" s="34"/>
      <c r="V61" s="35"/>
      <c r="W61" s="33"/>
      <c r="X61" s="36"/>
      <c r="Y61" s="6"/>
      <c r="Z61" s="63"/>
      <c r="AA61" s="63"/>
      <c r="AB61" s="63"/>
      <c r="AC61"/>
      <c r="AD61"/>
      <c r="AE61"/>
    </row>
    <row r="62" spans="2:31" s="1" customFormat="1" ht="12.95" customHeight="1" x14ac:dyDescent="0.2">
      <c r="B62" s="457"/>
      <c r="C62" s="72" t="s">
        <v>32</v>
      </c>
      <c r="D62" s="5" t="s">
        <v>272</v>
      </c>
      <c r="E62" s="145"/>
      <c r="F62" s="145"/>
      <c r="G62" s="96" t="s">
        <v>262</v>
      </c>
      <c r="H62" s="153">
        <v>6.3800000000000003E-3</v>
      </c>
      <c r="I62" s="153">
        <v>6.2500000000000003E-3</v>
      </c>
      <c r="J62" s="153">
        <v>3.5200000000000001E-3</v>
      </c>
      <c r="K62" s="162">
        <v>5.28E-3</v>
      </c>
      <c r="L62" s="97" t="s">
        <v>251</v>
      </c>
      <c r="M62" s="97" t="s">
        <v>192</v>
      </c>
      <c r="N62" s="77" t="s">
        <v>193</v>
      </c>
      <c r="O62" s="58"/>
      <c r="P62" s="34"/>
      <c r="Q62" s="32">
        <v>2</v>
      </c>
      <c r="R62" s="33">
        <v>1</v>
      </c>
      <c r="S62" s="33">
        <v>2</v>
      </c>
      <c r="T62" s="33">
        <v>2</v>
      </c>
      <c r="U62" s="34">
        <v>2</v>
      </c>
      <c r="V62" s="35">
        <f t="shared" si="1"/>
        <v>1.8</v>
      </c>
      <c r="W62" s="33">
        <v>5</v>
      </c>
      <c r="X62" s="36">
        <f t="shared" si="0"/>
        <v>1.8</v>
      </c>
      <c r="Y62" s="6"/>
      <c r="Z62" s="63"/>
      <c r="AA62" s="63"/>
      <c r="AB62" s="63"/>
      <c r="AC62"/>
      <c r="AD62"/>
      <c r="AE62"/>
    </row>
    <row r="63" spans="2:31" s="1" customFormat="1" ht="12.95" customHeight="1" x14ac:dyDescent="0.2">
      <c r="B63" s="452"/>
      <c r="C63" s="72" t="s">
        <v>32</v>
      </c>
      <c r="D63" s="151" t="s">
        <v>273</v>
      </c>
      <c r="E63" s="145"/>
      <c r="F63" s="145"/>
      <c r="G63" s="96" t="s">
        <v>262</v>
      </c>
      <c r="H63" s="153">
        <v>6.3800000000000003E-3</v>
      </c>
      <c r="I63" s="153">
        <v>6.2500000000000003E-3</v>
      </c>
      <c r="J63" s="153">
        <v>3.5200000000000001E-3</v>
      </c>
      <c r="K63" s="162">
        <v>5.28E-3</v>
      </c>
      <c r="L63" s="97" t="s">
        <v>245</v>
      </c>
      <c r="M63" s="97" t="s">
        <v>192</v>
      </c>
      <c r="N63" s="77" t="s">
        <v>193</v>
      </c>
      <c r="O63" s="73"/>
      <c r="P63" s="32" t="s">
        <v>262</v>
      </c>
      <c r="Q63" s="32">
        <v>3</v>
      </c>
      <c r="R63" s="33">
        <v>1</v>
      </c>
      <c r="S63" s="33">
        <v>2</v>
      </c>
      <c r="T63" s="33">
        <v>2</v>
      </c>
      <c r="U63" s="34">
        <v>2</v>
      </c>
      <c r="V63" s="35">
        <f t="shared" si="1"/>
        <v>2</v>
      </c>
      <c r="W63" s="33">
        <v>5</v>
      </c>
      <c r="X63" s="36">
        <f t="shared" si="0"/>
        <v>2</v>
      </c>
      <c r="Y63" s="6"/>
      <c r="Z63" s="63"/>
      <c r="AA63" s="63"/>
      <c r="AB63" s="63"/>
      <c r="AC63"/>
      <c r="AD63"/>
      <c r="AE63"/>
    </row>
    <row r="64" spans="2:31" s="1" customFormat="1" ht="12.95" customHeight="1" x14ac:dyDescent="0.2">
      <c r="B64" s="451" t="s">
        <v>274</v>
      </c>
      <c r="C64" s="32" t="s">
        <v>32</v>
      </c>
      <c r="D64" s="58" t="s">
        <v>155</v>
      </c>
      <c r="E64" s="32" t="s">
        <v>156</v>
      </c>
      <c r="F64" s="32">
        <v>2006</v>
      </c>
      <c r="G64" s="32" t="s">
        <v>262</v>
      </c>
      <c r="H64" s="71">
        <v>0.14799999999999999</v>
      </c>
      <c r="I64" s="71">
        <v>0.14899999999999999</v>
      </c>
      <c r="J64" s="71">
        <v>0.14799999999999999</v>
      </c>
      <c r="K64" s="163">
        <v>0</v>
      </c>
      <c r="L64" s="97" t="s">
        <v>251</v>
      </c>
      <c r="M64" s="97" t="s">
        <v>192</v>
      </c>
      <c r="N64" s="77" t="s">
        <v>193</v>
      </c>
      <c r="O64" s="58"/>
      <c r="P64" s="34"/>
      <c r="Q64" s="32">
        <v>3</v>
      </c>
      <c r="R64" s="33">
        <v>3</v>
      </c>
      <c r="S64" s="33">
        <v>1</v>
      </c>
      <c r="T64" s="33">
        <v>3</v>
      </c>
      <c r="U64" s="34">
        <v>3</v>
      </c>
      <c r="V64" s="35">
        <f t="shared" si="1"/>
        <v>2.6</v>
      </c>
      <c r="W64" s="33">
        <v>5</v>
      </c>
      <c r="X64" s="36">
        <f t="shared" si="0"/>
        <v>2.6</v>
      </c>
      <c r="Y64" s="6"/>
      <c r="Z64" s="63"/>
      <c r="AA64" s="63"/>
      <c r="AB64" s="63"/>
      <c r="AC64"/>
      <c r="AD64"/>
      <c r="AE64"/>
    </row>
    <row r="65" spans="2:31" s="1" customFormat="1" ht="12.95" customHeight="1" x14ac:dyDescent="0.2">
      <c r="B65" s="452"/>
      <c r="C65" s="72" t="s">
        <v>32</v>
      </c>
      <c r="D65" s="151" t="s">
        <v>273</v>
      </c>
      <c r="E65" s="84" t="s">
        <v>19</v>
      </c>
      <c r="F65" s="71">
        <v>2011</v>
      </c>
      <c r="G65" s="96" t="s">
        <v>262</v>
      </c>
      <c r="H65" s="32">
        <v>0.75600000000000001</v>
      </c>
      <c r="I65" s="32">
        <v>0.76200000000000001</v>
      </c>
      <c r="J65" s="32">
        <v>0.754</v>
      </c>
      <c r="K65" s="72">
        <v>6.3399999999999998E-2</v>
      </c>
      <c r="L65" s="97" t="s">
        <v>245</v>
      </c>
      <c r="M65" s="97" t="s">
        <v>192</v>
      </c>
      <c r="N65" s="77" t="s">
        <v>193</v>
      </c>
      <c r="O65" s="58"/>
      <c r="P65" s="34"/>
      <c r="Q65" s="32"/>
      <c r="R65" s="33"/>
      <c r="S65" s="33"/>
      <c r="T65" s="33"/>
      <c r="U65" s="34"/>
      <c r="V65" s="35"/>
      <c r="W65" s="33"/>
      <c r="X65" s="36"/>
      <c r="Y65" s="6"/>
      <c r="Z65" s="63"/>
      <c r="AA65" s="63"/>
      <c r="AB65" s="63"/>
      <c r="AC65"/>
      <c r="AD65"/>
      <c r="AE65"/>
    </row>
    <row r="66" spans="2:31" s="1" customFormat="1" ht="12.95" customHeight="1" x14ac:dyDescent="0.2">
      <c r="B66" s="453" t="s">
        <v>160</v>
      </c>
      <c r="C66" s="199" t="s">
        <v>32</v>
      </c>
      <c r="D66" s="200" t="s">
        <v>128</v>
      </c>
      <c r="E66" s="201" t="s">
        <v>19</v>
      </c>
      <c r="F66" s="199">
        <v>2011</v>
      </c>
      <c r="G66" s="199" t="s">
        <v>262</v>
      </c>
      <c r="H66" s="199" t="s">
        <v>198</v>
      </c>
      <c r="I66" s="199" t="s">
        <v>198</v>
      </c>
      <c r="J66" s="199" t="s">
        <v>198</v>
      </c>
      <c r="K66" s="202" t="s">
        <v>198</v>
      </c>
      <c r="L66" s="203" t="s">
        <v>38</v>
      </c>
      <c r="M66" s="204" t="s">
        <v>265</v>
      </c>
      <c r="N66" s="204" t="s">
        <v>193</v>
      </c>
      <c r="O66" s="58"/>
      <c r="P66" s="34"/>
      <c r="Q66" s="32">
        <v>2</v>
      </c>
      <c r="R66" s="33">
        <v>1</v>
      </c>
      <c r="S66" s="33">
        <v>1</v>
      </c>
      <c r="T66" s="33">
        <v>2</v>
      </c>
      <c r="U66" s="34">
        <v>2</v>
      </c>
      <c r="V66" s="35">
        <f t="shared" si="1"/>
        <v>1.6</v>
      </c>
      <c r="W66" s="33">
        <v>5</v>
      </c>
      <c r="X66" s="36">
        <f t="shared" si="0"/>
        <v>1.5999999999999999</v>
      </c>
      <c r="Y66" s="6"/>
      <c r="Z66" s="63"/>
      <c r="AA66" s="63"/>
      <c r="AB66" s="63"/>
      <c r="AC66"/>
      <c r="AD66"/>
      <c r="AE66"/>
    </row>
    <row r="67" spans="2:31" s="1" customFormat="1" ht="12.95" customHeight="1" x14ac:dyDescent="0.2">
      <c r="B67" s="454"/>
      <c r="C67" s="199" t="s">
        <v>32</v>
      </c>
      <c r="D67" s="200" t="s">
        <v>129</v>
      </c>
      <c r="E67" s="201" t="s">
        <v>19</v>
      </c>
      <c r="F67" s="199">
        <v>2011</v>
      </c>
      <c r="G67" s="199" t="s">
        <v>262</v>
      </c>
      <c r="H67" s="199" t="s">
        <v>198</v>
      </c>
      <c r="I67" s="199" t="s">
        <v>198</v>
      </c>
      <c r="J67" s="199" t="s">
        <v>198</v>
      </c>
      <c r="K67" s="202" t="s">
        <v>198</v>
      </c>
      <c r="L67" s="205" t="s">
        <v>129</v>
      </c>
      <c r="M67" s="206" t="s">
        <v>192</v>
      </c>
      <c r="N67" s="207" t="s">
        <v>193</v>
      </c>
      <c r="O67" s="58"/>
      <c r="P67" s="34"/>
      <c r="Q67" s="32">
        <v>2</v>
      </c>
      <c r="R67" s="33">
        <v>1</v>
      </c>
      <c r="S67" s="33">
        <v>1</v>
      </c>
      <c r="T67" s="33">
        <v>2</v>
      </c>
      <c r="U67" s="34">
        <v>2</v>
      </c>
      <c r="V67" s="35">
        <f t="shared" si="1"/>
        <v>1.6</v>
      </c>
      <c r="W67" s="33">
        <v>5</v>
      </c>
      <c r="X67" s="36">
        <f t="shared" si="0"/>
        <v>1.5999999999999999</v>
      </c>
      <c r="Y67" s="6"/>
      <c r="Z67" s="63"/>
      <c r="AA67" s="63"/>
      <c r="AB67" s="63"/>
      <c r="AC67"/>
      <c r="AD67"/>
      <c r="AE67"/>
    </row>
    <row r="68" spans="2:31" x14ac:dyDescent="0.2">
      <c r="X68" s="62" t="e">
        <f>AVERAGE(#REF!,#REF!,#REF!,#REF!,#REF!,#REF!,#REF!,#REF!,#REF!,#REF!,#REF!,#REF!,#REF!,#REF!,X15:X67)</f>
        <v>#REF!</v>
      </c>
    </row>
  </sheetData>
  <mergeCells count="30">
    <mergeCell ref="D2:L2"/>
    <mergeCell ref="B10:B12"/>
    <mergeCell ref="C10:C12"/>
    <mergeCell ref="D10:D12"/>
    <mergeCell ref="E10:E12"/>
    <mergeCell ref="F10:F12"/>
    <mergeCell ref="G10:G12"/>
    <mergeCell ref="H10:K10"/>
    <mergeCell ref="L10:L12"/>
    <mergeCell ref="B15:B24"/>
    <mergeCell ref="B25:B32"/>
    <mergeCell ref="X11:X12"/>
    <mergeCell ref="M10:M12"/>
    <mergeCell ref="N10:N12"/>
    <mergeCell ref="O10:O12"/>
    <mergeCell ref="Q10:X10"/>
    <mergeCell ref="I11:J11"/>
    <mergeCell ref="Q11:S11"/>
    <mergeCell ref="T11:T12"/>
    <mergeCell ref="U11:U12"/>
    <mergeCell ref="V11:V12"/>
    <mergeCell ref="W11:W12"/>
    <mergeCell ref="B64:B65"/>
    <mergeCell ref="B66:B67"/>
    <mergeCell ref="B33:B39"/>
    <mergeCell ref="B40:B45"/>
    <mergeCell ref="B46:B49"/>
    <mergeCell ref="B50:B53"/>
    <mergeCell ref="B54:B57"/>
    <mergeCell ref="B58:B63"/>
  </mergeCells>
  <conditionalFormatting sqref="D62">
    <cfRule type="duplicateValues" dxfId="7" priority="5"/>
    <cfRule type="containsText" dxfId="6" priority="6" operator="containsText" text="Default PEFCR LCI Name">
      <formula>NOT(ISERROR(SEARCH("Default PEFCR LCI Name",D62)))</formula>
    </cfRule>
  </conditionalFormatting>
  <conditionalFormatting sqref="L16">
    <cfRule type="duplicateValues" dxfId="5" priority="3"/>
    <cfRule type="containsText" dxfId="4" priority="4" operator="containsText" text="Default PEFCR LCI Name">
      <formula>NOT(ISERROR(SEARCH("Default PEFCR LCI Name",L16)))</formula>
    </cfRule>
  </conditionalFormatting>
  <conditionalFormatting sqref="L67">
    <cfRule type="duplicateValues" dxfId="3" priority="1"/>
    <cfRule type="containsText" dxfId="2" priority="2" operator="containsText" text="Default PEFCR LCI Name">
      <formula>NOT(ISERROR(SEARCH("Default PEFCR LCI Name",L67)))</formula>
    </cfRule>
  </conditionalFormatting>
  <pageMargins left="0.7" right="0.7" top="0.78740157499999996" bottom="0.78740157499999996" header="0.3" footer="0.3"/>
  <pageSetup paperSize="9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31"/>
  <sheetViews>
    <sheetView workbookViewId="0"/>
  </sheetViews>
  <sheetFormatPr defaultColWidth="11" defaultRowHeight="14.25" x14ac:dyDescent="0.2"/>
  <cols>
    <col min="1" max="1" width="5.75" customWidth="1"/>
    <col min="7" max="7" width="7.375" customWidth="1"/>
    <col min="8" max="8" width="39.625" customWidth="1"/>
    <col min="9" max="11" width="8.75" customWidth="1"/>
    <col min="12" max="12" width="10.75" customWidth="1"/>
  </cols>
  <sheetData>
    <row r="1" spans="1:13" ht="16.350000000000001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3" s="7" customFormat="1" ht="15" x14ac:dyDescent="0.25">
      <c r="A2" s="187"/>
      <c r="B2" s="18" t="s">
        <v>175</v>
      </c>
      <c r="C2" s="177"/>
      <c r="D2" s="442" t="s">
        <v>184</v>
      </c>
      <c r="E2" s="442"/>
      <c r="F2" s="442"/>
      <c r="G2" s="442"/>
      <c r="H2" s="442"/>
      <c r="I2" s="442"/>
      <c r="J2" s="442"/>
      <c r="K2" s="442"/>
      <c r="L2" s="442"/>
      <c r="M2" s="187"/>
    </row>
    <row r="3" spans="1:13" s="7" customFormat="1" ht="15" x14ac:dyDescent="0.25">
      <c r="A3" s="187"/>
      <c r="B3" s="18" t="s">
        <v>176</v>
      </c>
      <c r="C3" s="110"/>
      <c r="D3" s="21" t="s">
        <v>185</v>
      </c>
      <c r="E3" s="21"/>
      <c r="F3" s="21"/>
      <c r="G3" s="21"/>
      <c r="H3" s="110"/>
      <c r="I3" s="110"/>
      <c r="J3" s="110"/>
      <c r="K3" s="110"/>
      <c r="L3" s="21"/>
      <c r="M3" s="187"/>
    </row>
    <row r="4" spans="1:13" s="7" customFormat="1" ht="15" x14ac:dyDescent="0.25">
      <c r="A4" s="187"/>
      <c r="B4" s="18" t="s">
        <v>177</v>
      </c>
      <c r="C4" s="110"/>
      <c r="D4" s="21" t="s">
        <v>189</v>
      </c>
      <c r="E4" s="21"/>
      <c r="F4" s="21"/>
      <c r="G4" s="21"/>
      <c r="H4" s="110"/>
      <c r="I4" s="110"/>
      <c r="J4" s="110"/>
      <c r="K4" s="110"/>
      <c r="L4" s="21"/>
      <c r="M4" s="187"/>
    </row>
    <row r="5" spans="1:13" s="7" customFormat="1" ht="15" x14ac:dyDescent="0.25">
      <c r="A5" s="187"/>
      <c r="B5" s="18" t="s">
        <v>178</v>
      </c>
      <c r="C5" s="110"/>
      <c r="D5" s="21" t="s">
        <v>186</v>
      </c>
      <c r="E5" s="21"/>
      <c r="F5" s="21"/>
      <c r="G5" s="21"/>
      <c r="H5" s="110"/>
      <c r="I5" s="110"/>
      <c r="J5" s="110"/>
      <c r="K5" s="110"/>
      <c r="L5" s="21"/>
      <c r="M5" s="187"/>
    </row>
    <row r="6" spans="1:13" s="7" customFormat="1" ht="15" x14ac:dyDescent="0.25">
      <c r="A6" s="187"/>
      <c r="B6" s="18" t="s">
        <v>179</v>
      </c>
      <c r="C6" s="110"/>
      <c r="D6" s="21" t="s">
        <v>188</v>
      </c>
      <c r="E6" s="21"/>
      <c r="F6" s="21"/>
      <c r="G6" s="21"/>
      <c r="H6" s="110"/>
      <c r="I6" s="110"/>
      <c r="J6" s="110"/>
      <c r="K6" s="110"/>
      <c r="L6" s="21"/>
      <c r="M6" s="187"/>
    </row>
    <row r="7" spans="1:13" s="7" customFormat="1" ht="15" x14ac:dyDescent="0.25">
      <c r="A7" s="187"/>
      <c r="B7" s="18" t="s">
        <v>180</v>
      </c>
      <c r="C7" s="110"/>
      <c r="D7" s="21" t="s">
        <v>181</v>
      </c>
      <c r="E7" s="21"/>
      <c r="F7" s="21"/>
      <c r="G7" s="21"/>
      <c r="H7" s="110"/>
      <c r="I7" s="110"/>
      <c r="J7" s="110"/>
      <c r="K7" s="110"/>
      <c r="L7" s="21"/>
      <c r="M7" s="187"/>
    </row>
    <row r="8" spans="1:13" s="7" customFormat="1" ht="15" x14ac:dyDescent="0.25">
      <c r="A8" s="187"/>
      <c r="B8" s="18" t="s">
        <v>183</v>
      </c>
      <c r="C8" s="110"/>
      <c r="D8" s="21" t="s">
        <v>187</v>
      </c>
      <c r="E8" s="21"/>
      <c r="F8" s="21"/>
      <c r="G8" s="21"/>
      <c r="H8" s="110"/>
      <c r="I8" s="110"/>
      <c r="J8" s="110"/>
      <c r="K8" s="110"/>
      <c r="L8" s="21"/>
      <c r="M8" s="187"/>
    </row>
    <row r="9" spans="1:13" ht="13.7" customHeight="1" x14ac:dyDescent="0.2">
      <c r="A9" s="1"/>
      <c r="B9" s="184"/>
      <c r="C9" s="184"/>
      <c r="D9" s="184"/>
      <c r="E9" s="184"/>
      <c r="F9" s="1"/>
      <c r="G9" s="1"/>
      <c r="H9" s="1"/>
      <c r="I9" s="1"/>
      <c r="J9" s="1"/>
      <c r="K9" s="1"/>
      <c r="L9" s="1"/>
      <c r="M9" s="1"/>
    </row>
    <row r="10" spans="1:13" ht="13.7" customHeight="1" x14ac:dyDescent="0.2">
      <c r="A10" s="1"/>
      <c r="B10" s="184"/>
      <c r="C10" s="184"/>
      <c r="D10" s="184"/>
      <c r="E10" s="184"/>
      <c r="F10" s="1"/>
      <c r="G10" s="1"/>
      <c r="H10" s="1"/>
      <c r="I10" s="1"/>
      <c r="J10" s="1"/>
      <c r="K10" s="1"/>
      <c r="L10" s="1"/>
      <c r="M10" s="1"/>
    </row>
    <row r="11" spans="1:13" ht="40.700000000000003" customHeight="1" x14ac:dyDescent="0.2">
      <c r="A11" s="1"/>
      <c r="B11" s="185"/>
      <c r="C11" s="185"/>
      <c r="D11" s="185"/>
      <c r="E11" s="185"/>
      <c r="G11" s="1"/>
      <c r="H11" s="190" t="s">
        <v>295</v>
      </c>
      <c r="I11" s="190" t="s">
        <v>296</v>
      </c>
      <c r="J11" s="190" t="s">
        <v>297</v>
      </c>
      <c r="K11" s="190" t="s">
        <v>298</v>
      </c>
      <c r="L11" s="190" t="s">
        <v>257</v>
      </c>
      <c r="M11" s="1"/>
    </row>
    <row r="12" spans="1:13" ht="13.7" customHeight="1" x14ac:dyDescent="0.2">
      <c r="A12" s="1"/>
      <c r="B12" s="185"/>
      <c r="C12" s="185"/>
      <c r="D12" s="185"/>
      <c r="E12" s="185"/>
      <c r="G12" s="1"/>
      <c r="H12" t="s">
        <v>299</v>
      </c>
      <c r="I12" s="189" t="s">
        <v>300</v>
      </c>
      <c r="J12" s="191">
        <v>2.7536330000000001E-3</v>
      </c>
      <c r="K12" s="189" t="s">
        <v>301</v>
      </c>
      <c r="L12" t="s">
        <v>302</v>
      </c>
      <c r="M12" s="1"/>
    </row>
    <row r="13" spans="1:13" ht="13.7" customHeight="1" x14ac:dyDescent="0.2">
      <c r="A13" s="1"/>
      <c r="B13" s="185"/>
      <c r="C13" s="185"/>
      <c r="D13" s="185"/>
      <c r="E13" s="185"/>
      <c r="G13" s="1"/>
      <c r="H13" t="s">
        <v>303</v>
      </c>
      <c r="I13" s="189" t="s">
        <v>304</v>
      </c>
      <c r="J13" s="191">
        <v>0.13769999999999999</v>
      </c>
      <c r="K13" s="189" t="s">
        <v>305</v>
      </c>
      <c r="L13" t="s">
        <v>302</v>
      </c>
      <c r="M13" s="1"/>
    </row>
    <row r="14" spans="1:13" x14ac:dyDescent="0.2">
      <c r="A14" s="1"/>
      <c r="G14" s="1"/>
      <c r="H14" t="s">
        <v>306</v>
      </c>
      <c r="I14" s="189" t="s">
        <v>300</v>
      </c>
      <c r="J14" s="191">
        <v>2.7499999999999998E-3</v>
      </c>
      <c r="K14" s="189" t="s">
        <v>301</v>
      </c>
      <c r="L14" t="s">
        <v>302</v>
      </c>
      <c r="M14" s="1"/>
    </row>
    <row r="15" spans="1:13" x14ac:dyDescent="0.2">
      <c r="A15" s="1"/>
      <c r="G15" s="1"/>
      <c r="H15" s="1"/>
      <c r="I15" s="1"/>
      <c r="J15" s="1"/>
      <c r="K15" s="1"/>
      <c r="L15" s="1"/>
      <c r="M15" s="1"/>
    </row>
    <row r="16" spans="1:13" x14ac:dyDescent="0.2">
      <c r="A16" s="1"/>
      <c r="G16" s="1"/>
      <c r="H16" s="1"/>
      <c r="I16" s="1"/>
      <c r="J16" s="1"/>
      <c r="K16" s="1"/>
      <c r="L16" s="1"/>
      <c r="M16" s="1"/>
    </row>
    <row r="17" spans="1:13" x14ac:dyDescent="0.2">
      <c r="A17" s="1"/>
      <c r="G17" s="1"/>
      <c r="H17" s="1"/>
      <c r="I17" s="1"/>
      <c r="J17" s="1"/>
      <c r="K17" s="1"/>
      <c r="L17" s="1"/>
      <c r="M17" s="1"/>
    </row>
    <row r="18" spans="1:13" x14ac:dyDescent="0.2">
      <c r="A18" s="1"/>
      <c r="G18" s="1"/>
      <c r="H18" s="1"/>
      <c r="I18" s="1"/>
      <c r="J18" s="1"/>
      <c r="K18" s="1"/>
      <c r="L18" s="1"/>
      <c r="M18" s="1"/>
    </row>
    <row r="19" spans="1:13" x14ac:dyDescent="0.2">
      <c r="A19" s="1"/>
      <c r="G19" s="1"/>
      <c r="H19" s="1"/>
      <c r="I19" s="1"/>
      <c r="J19" s="1"/>
      <c r="K19" s="1"/>
      <c r="L19" s="1"/>
      <c r="M19" s="1"/>
    </row>
    <row r="20" spans="1:13" x14ac:dyDescent="0.2">
      <c r="A20" s="1"/>
      <c r="G20" s="1"/>
      <c r="H20" s="1"/>
      <c r="I20" s="1"/>
      <c r="J20" s="1"/>
      <c r="K20" s="1"/>
      <c r="L20" s="1"/>
      <c r="M20" s="1"/>
    </row>
    <row r="21" spans="1:13" x14ac:dyDescent="0.2">
      <c r="A21" s="1"/>
      <c r="G21" s="1"/>
      <c r="H21" s="1"/>
      <c r="I21" s="1"/>
      <c r="J21" s="1"/>
      <c r="K21" s="1"/>
      <c r="L21" s="1"/>
      <c r="M21" s="1"/>
    </row>
    <row r="22" spans="1:13" x14ac:dyDescent="0.2">
      <c r="A22" s="1"/>
      <c r="G22" s="1"/>
      <c r="H22" s="1"/>
      <c r="I22" s="1"/>
      <c r="J22" s="1"/>
      <c r="K22" s="1"/>
      <c r="L22" s="1"/>
      <c r="M22" s="1"/>
    </row>
    <row r="23" spans="1:13" x14ac:dyDescent="0.2">
      <c r="A23" s="1"/>
      <c r="G23" s="1"/>
      <c r="H23" s="1"/>
      <c r="I23" s="1"/>
      <c r="J23" s="1"/>
      <c r="K23" s="1"/>
      <c r="L23" s="1"/>
      <c r="M23" s="1"/>
    </row>
    <row r="24" spans="1:13" x14ac:dyDescent="0.2">
      <c r="A24" s="1"/>
      <c r="G24" s="1"/>
      <c r="H24" s="1"/>
      <c r="I24" s="1"/>
      <c r="J24" s="1"/>
      <c r="K24" s="1"/>
      <c r="L24" s="1"/>
      <c r="M24" s="1"/>
    </row>
    <row r="25" spans="1:13" x14ac:dyDescent="0.2">
      <c r="A25" s="1"/>
      <c r="G25" s="1"/>
      <c r="H25" s="1"/>
      <c r="I25" s="1"/>
      <c r="J25" s="1"/>
      <c r="K25" s="1"/>
      <c r="L25" s="1"/>
      <c r="M25" s="1"/>
    </row>
    <row r="26" spans="1:13" x14ac:dyDescent="0.2">
      <c r="A26" s="1"/>
      <c r="G26" s="1"/>
      <c r="H26" s="1"/>
      <c r="I26" s="1"/>
      <c r="J26" s="1"/>
      <c r="K26" s="1"/>
      <c r="L26" s="1"/>
      <c r="M26" s="1"/>
    </row>
    <row r="27" spans="1:13" x14ac:dyDescent="0.2">
      <c r="A27" s="1"/>
      <c r="G27" s="1"/>
      <c r="H27" s="1"/>
      <c r="I27" s="1"/>
      <c r="J27" s="1"/>
      <c r="K27" s="1"/>
      <c r="L27" s="1"/>
      <c r="M27" s="1"/>
    </row>
    <row r="28" spans="1:13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</row>
    <row r="29" spans="1:13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</row>
    <row r="30" spans="1:13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</row>
    <row r="31" spans="1:13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</row>
  </sheetData>
  <mergeCells count="1">
    <mergeCell ref="D2:L2"/>
  </mergeCells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36"/>
  <sheetViews>
    <sheetView workbookViewId="0"/>
  </sheetViews>
  <sheetFormatPr defaultColWidth="11" defaultRowHeight="14.25" x14ac:dyDescent="0.2"/>
  <sheetData>
    <row r="1" spans="1:7" x14ac:dyDescent="0.2">
      <c r="A1" s="1"/>
      <c r="B1" s="1"/>
      <c r="C1" s="1"/>
      <c r="D1" s="1"/>
      <c r="E1" s="1"/>
      <c r="F1" s="1"/>
      <c r="G1" s="2"/>
    </row>
    <row r="2" spans="1:7" x14ac:dyDescent="0.2">
      <c r="A2" s="1"/>
      <c r="B2" s="1"/>
      <c r="C2" s="1"/>
      <c r="D2" s="1"/>
      <c r="E2" s="1"/>
      <c r="F2" s="1"/>
      <c r="G2" s="2"/>
    </row>
    <row r="3" spans="1:7" x14ac:dyDescent="0.2">
      <c r="A3" s="1"/>
      <c r="B3" s="1"/>
      <c r="C3" s="1"/>
      <c r="D3" s="1"/>
      <c r="E3" s="1"/>
      <c r="F3" s="1"/>
      <c r="G3" s="2"/>
    </row>
    <row r="4" spans="1:7" x14ac:dyDescent="0.2">
      <c r="A4" s="1"/>
      <c r="B4" s="1"/>
      <c r="C4" s="1"/>
      <c r="D4" s="1"/>
      <c r="E4" s="1"/>
      <c r="F4" s="1"/>
      <c r="G4" s="2"/>
    </row>
    <row r="5" spans="1:7" x14ac:dyDescent="0.2">
      <c r="A5" s="1"/>
      <c r="B5" s="1"/>
      <c r="C5" s="1"/>
      <c r="D5" s="1"/>
      <c r="E5" s="1"/>
      <c r="F5" s="1"/>
      <c r="G5" s="2"/>
    </row>
    <row r="6" spans="1:7" x14ac:dyDescent="0.2">
      <c r="A6" s="1"/>
      <c r="B6" s="1"/>
      <c r="C6" s="1"/>
      <c r="D6" s="1"/>
      <c r="E6" s="1"/>
      <c r="F6" s="1"/>
      <c r="G6" s="2"/>
    </row>
    <row r="7" spans="1:7" x14ac:dyDescent="0.2">
      <c r="A7" s="1"/>
      <c r="B7" s="1"/>
      <c r="C7" s="1"/>
      <c r="D7" s="1"/>
      <c r="E7" s="1"/>
      <c r="F7" s="1"/>
      <c r="G7" s="2"/>
    </row>
    <row r="8" spans="1:7" x14ac:dyDescent="0.2">
      <c r="A8" s="1"/>
      <c r="B8" s="1"/>
      <c r="C8" s="1"/>
      <c r="D8" s="1"/>
      <c r="E8" s="1"/>
      <c r="F8" s="1"/>
      <c r="G8" s="2"/>
    </row>
    <row r="9" spans="1:7" x14ac:dyDescent="0.2">
      <c r="A9" s="1"/>
      <c r="B9" s="1"/>
      <c r="C9" s="1"/>
      <c r="D9" s="1"/>
      <c r="E9" s="1"/>
      <c r="F9" s="1"/>
      <c r="G9" s="2"/>
    </row>
    <row r="10" spans="1:7" x14ac:dyDescent="0.2">
      <c r="A10" s="1"/>
      <c r="B10" s="1"/>
      <c r="C10" s="1"/>
      <c r="D10" s="1"/>
      <c r="E10" s="1"/>
      <c r="F10" s="1"/>
      <c r="G10" s="2"/>
    </row>
    <row r="11" spans="1:7" x14ac:dyDescent="0.2">
      <c r="A11" s="1"/>
      <c r="B11" s="1"/>
      <c r="C11" s="1"/>
      <c r="D11" s="1"/>
      <c r="E11" s="1"/>
      <c r="F11" s="1"/>
      <c r="G11" s="2"/>
    </row>
    <row r="12" spans="1:7" x14ac:dyDescent="0.2">
      <c r="A12" s="1"/>
      <c r="B12" s="1"/>
      <c r="C12" s="1"/>
      <c r="D12" s="1"/>
      <c r="E12" s="1"/>
      <c r="F12" s="1"/>
      <c r="G12" s="2"/>
    </row>
    <row r="13" spans="1:7" x14ac:dyDescent="0.2">
      <c r="A13" s="1"/>
      <c r="B13" s="1"/>
      <c r="C13" s="1"/>
      <c r="D13" s="1"/>
      <c r="E13" s="1"/>
      <c r="F13" s="1"/>
      <c r="G13" s="2"/>
    </row>
    <row r="14" spans="1:7" x14ac:dyDescent="0.2">
      <c r="A14" s="1"/>
      <c r="B14" s="1"/>
      <c r="C14" s="1"/>
      <c r="D14" s="1"/>
      <c r="E14" s="1"/>
      <c r="F14" s="1"/>
      <c r="G14" s="2"/>
    </row>
    <row r="15" spans="1:7" x14ac:dyDescent="0.2">
      <c r="A15" s="1"/>
      <c r="B15" s="1"/>
      <c r="C15" s="1"/>
      <c r="D15" s="1"/>
      <c r="E15" s="1"/>
      <c r="F15" s="1"/>
      <c r="G15" s="2"/>
    </row>
    <row r="16" spans="1:7" x14ac:dyDescent="0.2">
      <c r="A16" s="1"/>
      <c r="B16" s="1"/>
      <c r="C16" s="1"/>
      <c r="D16" s="1"/>
      <c r="E16" s="1"/>
      <c r="F16" s="1"/>
      <c r="G16" s="2"/>
    </row>
    <row r="17" spans="1:7" x14ac:dyDescent="0.2">
      <c r="A17" s="1"/>
      <c r="B17" s="1"/>
      <c r="C17" s="1"/>
      <c r="D17" s="1"/>
      <c r="E17" s="1"/>
      <c r="F17" s="1"/>
      <c r="G17" s="2"/>
    </row>
    <row r="18" spans="1:7" x14ac:dyDescent="0.2">
      <c r="A18" s="1"/>
      <c r="B18" s="1"/>
      <c r="C18" s="1"/>
      <c r="D18" s="1"/>
      <c r="E18" s="1"/>
      <c r="F18" s="1"/>
      <c r="G18" s="2"/>
    </row>
    <row r="19" spans="1:7" x14ac:dyDescent="0.2">
      <c r="A19" s="1"/>
      <c r="B19" s="1"/>
      <c r="C19" s="1"/>
      <c r="D19" s="1"/>
      <c r="E19" s="1"/>
      <c r="F19" s="1"/>
      <c r="G19" s="2"/>
    </row>
    <row r="20" spans="1:7" x14ac:dyDescent="0.2">
      <c r="A20" s="1"/>
      <c r="B20" s="1"/>
      <c r="C20" s="1"/>
      <c r="D20" s="1"/>
      <c r="E20" s="1"/>
      <c r="F20" s="1"/>
      <c r="G20" s="2"/>
    </row>
    <row r="21" spans="1:7" x14ac:dyDescent="0.2">
      <c r="A21" s="1"/>
      <c r="B21" s="1"/>
      <c r="C21" s="1"/>
      <c r="D21" s="1"/>
      <c r="E21" s="1"/>
      <c r="F21" s="1"/>
      <c r="G21" s="2"/>
    </row>
    <row r="22" spans="1:7" x14ac:dyDescent="0.2">
      <c r="A22" s="1"/>
      <c r="B22" s="1"/>
      <c r="C22" s="1"/>
      <c r="D22" s="1"/>
      <c r="E22" s="1"/>
      <c r="F22" s="1"/>
      <c r="G22" s="2"/>
    </row>
    <row r="23" spans="1:7" x14ac:dyDescent="0.2">
      <c r="A23" s="1"/>
      <c r="B23" s="1"/>
      <c r="C23" s="1"/>
      <c r="D23" s="1"/>
      <c r="E23" s="1"/>
      <c r="F23" s="1"/>
      <c r="G23" s="2"/>
    </row>
    <row r="24" spans="1:7" x14ac:dyDescent="0.2">
      <c r="A24" s="1"/>
      <c r="B24" s="1"/>
      <c r="C24" s="1"/>
      <c r="D24" s="1"/>
      <c r="E24" s="1"/>
      <c r="F24" s="1"/>
      <c r="G24" s="2"/>
    </row>
    <row r="25" spans="1:7" x14ac:dyDescent="0.2">
      <c r="A25" s="1"/>
      <c r="B25" s="1"/>
      <c r="C25" s="1"/>
      <c r="D25" s="1"/>
      <c r="E25" s="1"/>
      <c r="F25" s="1"/>
      <c r="G25" s="2"/>
    </row>
    <row r="26" spans="1:7" x14ac:dyDescent="0.2">
      <c r="A26" s="1"/>
      <c r="B26" s="1"/>
      <c r="C26" s="1"/>
      <c r="D26" s="1"/>
      <c r="E26" s="1"/>
      <c r="F26" s="1"/>
      <c r="G26" s="2"/>
    </row>
    <row r="27" spans="1:7" x14ac:dyDescent="0.2">
      <c r="A27" s="1"/>
      <c r="B27" s="1"/>
      <c r="C27" s="1"/>
      <c r="D27" s="1"/>
      <c r="E27" s="1"/>
      <c r="F27" s="1"/>
      <c r="G27" s="2"/>
    </row>
    <row r="28" spans="1:7" x14ac:dyDescent="0.2">
      <c r="A28" s="1"/>
      <c r="B28" s="1"/>
      <c r="C28" s="1"/>
      <c r="D28" s="1"/>
      <c r="E28" s="1"/>
      <c r="F28" s="1"/>
      <c r="G28" s="2"/>
    </row>
    <row r="29" spans="1:7" x14ac:dyDescent="0.2">
      <c r="A29" s="1"/>
      <c r="B29" s="1"/>
      <c r="C29" s="1"/>
      <c r="D29" s="1"/>
      <c r="E29" s="1"/>
      <c r="F29" s="1"/>
      <c r="G29" s="2"/>
    </row>
    <row r="30" spans="1:7" x14ac:dyDescent="0.2">
      <c r="A30" s="1"/>
      <c r="B30" s="1"/>
      <c r="C30" s="1"/>
      <c r="D30" s="1"/>
      <c r="E30" s="1"/>
      <c r="F30" s="1"/>
      <c r="G30" s="2"/>
    </row>
    <row r="31" spans="1:7" x14ac:dyDescent="0.2">
      <c r="A31" s="1"/>
      <c r="B31" s="1"/>
      <c r="C31" s="1"/>
      <c r="D31" s="1"/>
      <c r="E31" s="1"/>
      <c r="F31" s="1"/>
      <c r="G31" s="2"/>
    </row>
    <row r="32" spans="1:7" x14ac:dyDescent="0.2">
      <c r="A32" s="1"/>
      <c r="B32" s="1"/>
      <c r="C32" s="1"/>
      <c r="D32" s="1"/>
      <c r="E32" s="1"/>
      <c r="F32" s="1"/>
      <c r="G32" s="2"/>
    </row>
    <row r="33" spans="1:7" x14ac:dyDescent="0.2">
      <c r="A33" s="2"/>
      <c r="B33" s="2"/>
      <c r="C33" s="2"/>
      <c r="D33" s="2"/>
      <c r="E33" s="2"/>
      <c r="F33" s="2"/>
      <c r="G33" s="2"/>
    </row>
    <row r="34" spans="1:7" x14ac:dyDescent="0.2">
      <c r="A34" s="2"/>
      <c r="B34" s="2"/>
      <c r="C34" s="2"/>
      <c r="D34" s="2"/>
      <c r="E34" s="2"/>
      <c r="F34" s="2"/>
      <c r="G34" s="2"/>
    </row>
    <row r="35" spans="1:7" x14ac:dyDescent="0.2">
      <c r="A35" s="2"/>
      <c r="B35" s="2"/>
      <c r="C35" s="2"/>
      <c r="D35" s="2"/>
      <c r="E35" s="2"/>
      <c r="F35" s="2"/>
      <c r="G35" s="2"/>
    </row>
    <row r="36" spans="1:7" x14ac:dyDescent="0.2">
      <c r="A36" s="2"/>
      <c r="B36" s="2"/>
      <c r="C36" s="2"/>
      <c r="D36" s="2"/>
      <c r="E36" s="2"/>
      <c r="F36" s="2"/>
      <c r="G36" s="2"/>
    </row>
  </sheetData>
  <pageMargins left="0.7" right="0.7" top="0.78740157499999996" bottom="0.78740157499999996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V129"/>
  <sheetViews>
    <sheetView workbookViewId="0"/>
  </sheetViews>
  <sheetFormatPr defaultColWidth="11" defaultRowHeight="14.25" x14ac:dyDescent="0.2"/>
  <cols>
    <col min="1" max="1" width="5.75" customWidth="1"/>
  </cols>
  <sheetData>
    <row r="1" spans="1:15" ht="13.7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</row>
    <row r="3" spans="1:15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5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</row>
    <row r="5" spans="1:15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</row>
    <row r="6" spans="1:15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</row>
    <row r="7" spans="1:15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</row>
    <row r="8" spans="1:15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</row>
    <row r="9" spans="1:15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</row>
    <row r="10" spans="1:15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</row>
    <row r="11" spans="1:15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</row>
    <row r="12" spans="1:15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</row>
    <row r="13" spans="1:15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</row>
    <row r="14" spans="1:15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</row>
    <row r="15" spans="1:15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</row>
    <row r="16" spans="1:15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</row>
    <row r="17" spans="1:15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</row>
    <row r="18" spans="1:15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</row>
    <row r="19" spans="1:15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</row>
    <row r="20" spans="1:15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</row>
    <row r="21" spans="1:15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</row>
    <row r="22" spans="1:15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</row>
    <row r="23" spans="1:15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</row>
    <row r="24" spans="1:15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</row>
    <row r="25" spans="1:15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</row>
    <row r="26" spans="1:15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</row>
    <row r="27" spans="1:15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</row>
    <row r="28" spans="1:15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</row>
    <row r="29" spans="1:15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</row>
    <row r="30" spans="1:15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</row>
    <row r="31" spans="1:15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</row>
    <row r="32" spans="1:15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</row>
    <row r="33" spans="1:15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</row>
    <row r="34" spans="1:15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</row>
    <row r="35" spans="1:15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</row>
    <row r="36" spans="1:15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</row>
    <row r="37" spans="1:15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5" x14ac:dyDescent="0.2">
      <c r="A38" s="1"/>
      <c r="L38" s="1"/>
      <c r="M38" s="1"/>
    </row>
    <row r="39" spans="1:15" x14ac:dyDescent="0.2">
      <c r="A39" s="1"/>
      <c r="L39" s="1"/>
      <c r="M39" s="1"/>
    </row>
    <row r="40" spans="1:15" x14ac:dyDescent="0.2">
      <c r="A40" s="1"/>
      <c r="L40" s="1"/>
      <c r="M40" s="1"/>
    </row>
    <row r="41" spans="1:15" x14ac:dyDescent="0.2">
      <c r="A41" s="1"/>
      <c r="L41" s="1"/>
      <c r="M41" s="1"/>
    </row>
    <row r="42" spans="1:15" x14ac:dyDescent="0.2">
      <c r="A42" s="1"/>
      <c r="L42" s="1"/>
      <c r="M42" s="1"/>
    </row>
    <row r="43" spans="1:15" x14ac:dyDescent="0.2">
      <c r="A43" s="1"/>
      <c r="L43" s="1"/>
      <c r="M43" s="1"/>
    </row>
    <row r="44" spans="1:15" x14ac:dyDescent="0.2">
      <c r="A44" s="1"/>
      <c r="L44" s="1"/>
      <c r="M44" s="1"/>
    </row>
    <row r="45" spans="1:15" x14ac:dyDescent="0.2">
      <c r="A45" s="1"/>
      <c r="L45" s="1"/>
      <c r="M45" s="1"/>
    </row>
    <row r="46" spans="1:15" x14ac:dyDescent="0.2">
      <c r="A46" s="1"/>
      <c r="L46" s="1"/>
      <c r="M46" s="1"/>
    </row>
    <row r="47" spans="1:15" x14ac:dyDescent="0.2">
      <c r="A47" s="1"/>
      <c r="L47" s="1"/>
      <c r="M47" s="1"/>
    </row>
    <row r="48" spans="1:15" x14ac:dyDescent="0.2">
      <c r="A48" s="1"/>
      <c r="L48" s="1"/>
      <c r="M48" s="1"/>
    </row>
    <row r="49" spans="1:13" x14ac:dyDescent="0.2">
      <c r="A49" s="1"/>
      <c r="L49" s="1"/>
      <c r="M49" s="1"/>
    </row>
    <row r="50" spans="1:13" x14ac:dyDescent="0.2">
      <c r="A50" s="1"/>
      <c r="L50" s="1"/>
      <c r="M50" s="1"/>
    </row>
    <row r="51" spans="1:13" x14ac:dyDescent="0.2">
      <c r="A51" s="1"/>
      <c r="L51" s="1"/>
      <c r="M51" s="1"/>
    </row>
    <row r="52" spans="1:13" x14ac:dyDescent="0.2">
      <c r="A52" s="1"/>
      <c r="L52" s="1"/>
      <c r="M52" s="1"/>
    </row>
    <row r="53" spans="1:13" x14ac:dyDescent="0.2">
      <c r="A53" s="1"/>
      <c r="L53" s="1"/>
      <c r="M53" s="1"/>
    </row>
    <row r="54" spans="1:13" x14ac:dyDescent="0.2">
      <c r="A54" s="1"/>
      <c r="L54" s="1"/>
      <c r="M54" s="1"/>
    </row>
    <row r="55" spans="1:13" x14ac:dyDescent="0.2">
      <c r="A55" s="1"/>
      <c r="L55" s="1"/>
      <c r="M55" s="1"/>
    </row>
    <row r="56" spans="1:13" x14ac:dyDescent="0.2">
      <c r="A56" s="1"/>
      <c r="L56" s="1"/>
      <c r="M56" s="1"/>
    </row>
    <row r="57" spans="1:13" x14ac:dyDescent="0.2">
      <c r="A57" s="1"/>
      <c r="L57" s="1"/>
      <c r="M57" s="1"/>
    </row>
    <row r="58" spans="1:13" x14ac:dyDescent="0.2">
      <c r="A58" s="1"/>
      <c r="L58" s="1"/>
      <c r="M58" s="1"/>
    </row>
    <row r="59" spans="1:13" x14ac:dyDescent="0.2">
      <c r="A59" s="1"/>
      <c r="L59" s="1"/>
      <c r="M59" s="1"/>
    </row>
    <row r="60" spans="1:13" x14ac:dyDescent="0.2">
      <c r="A60" s="1"/>
      <c r="L60" s="1"/>
      <c r="M60" s="1"/>
    </row>
    <row r="61" spans="1:13" x14ac:dyDescent="0.2">
      <c r="A61" s="1"/>
      <c r="L61" s="1"/>
      <c r="M61" s="1"/>
    </row>
    <row r="62" spans="1:13" x14ac:dyDescent="0.2">
      <c r="A62" s="1"/>
      <c r="L62" s="1"/>
      <c r="M62" s="1"/>
    </row>
    <row r="63" spans="1:13" x14ac:dyDescent="0.2">
      <c r="A63" s="1"/>
      <c r="L63" s="1"/>
      <c r="M63" s="1"/>
    </row>
    <row r="64" spans="1:13" x14ac:dyDescent="0.2">
      <c r="A64" s="1"/>
      <c r="L64" s="1"/>
      <c r="M64" s="1"/>
    </row>
    <row r="65" spans="1:22" x14ac:dyDescent="0.2">
      <c r="A65" s="1"/>
      <c r="L65" s="1"/>
      <c r="M65" s="1"/>
    </row>
    <row r="66" spans="1:22" x14ac:dyDescent="0.2">
      <c r="A66" s="1"/>
      <c r="L66" s="1"/>
      <c r="M66" s="1"/>
    </row>
    <row r="67" spans="1:22" x14ac:dyDescent="0.2">
      <c r="A67" s="1"/>
      <c r="L67" s="1"/>
      <c r="M67" s="1"/>
    </row>
    <row r="68" spans="1:22" x14ac:dyDescent="0.2">
      <c r="A68" s="1"/>
      <c r="L68" s="1"/>
      <c r="M68" s="1"/>
    </row>
    <row r="69" spans="1:22" x14ac:dyDescent="0.2">
      <c r="A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2">
      <c r="A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2">
      <c r="A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2">
      <c r="A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2">
      <c r="A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2">
      <c r="A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2">
      <c r="A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2">
      <c r="A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2">
      <c r="A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2">
      <c r="A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2">
      <c r="A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2">
      <c r="A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2">
      <c r="A81" s="1"/>
      <c r="J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2">
      <c r="A82" s="1"/>
      <c r="J82" s="1"/>
      <c r="S82" s="1"/>
    </row>
    <row r="83" spans="1:22" x14ac:dyDescent="0.2">
      <c r="A83" s="1"/>
      <c r="J83" s="1"/>
      <c r="S83" s="1"/>
    </row>
    <row r="84" spans="1:22" x14ac:dyDescent="0.2">
      <c r="A84" s="1"/>
      <c r="S84" s="1"/>
    </row>
    <row r="85" spans="1:22" x14ac:dyDescent="0.2">
      <c r="A85" s="1"/>
      <c r="J85" s="1"/>
      <c r="S85" s="1"/>
    </row>
    <row r="86" spans="1:22" x14ac:dyDescent="0.2">
      <c r="A86" s="1"/>
      <c r="J86" s="1"/>
      <c r="S86" s="1"/>
    </row>
    <row r="87" spans="1:22" x14ac:dyDescent="0.2">
      <c r="A87" s="1"/>
      <c r="J87" s="1"/>
      <c r="S87" s="1"/>
    </row>
    <row r="88" spans="1:22" x14ac:dyDescent="0.2">
      <c r="A88" s="1"/>
      <c r="J88" s="1"/>
      <c r="S88" s="1"/>
    </row>
    <row r="89" spans="1:22" x14ac:dyDescent="0.2">
      <c r="A89" s="1"/>
      <c r="J89" s="1"/>
      <c r="S89" s="1"/>
    </row>
    <row r="90" spans="1:22" x14ac:dyDescent="0.2">
      <c r="A90" s="1"/>
      <c r="J90" s="1"/>
      <c r="S90" s="1"/>
    </row>
    <row r="91" spans="1:22" x14ac:dyDescent="0.2">
      <c r="A91" s="1"/>
      <c r="J91" s="1"/>
      <c r="S91" s="1"/>
    </row>
    <row r="92" spans="1:22" x14ac:dyDescent="0.2">
      <c r="A92" s="1"/>
      <c r="J92" s="1"/>
      <c r="S92" s="1"/>
    </row>
    <row r="93" spans="1:22" x14ac:dyDescent="0.2">
      <c r="A93" s="1"/>
      <c r="J93" s="1"/>
      <c r="S93" s="1"/>
    </row>
    <row r="94" spans="1:22" x14ac:dyDescent="0.2">
      <c r="A94" s="1"/>
      <c r="J94" s="1"/>
      <c r="S94" s="1"/>
    </row>
    <row r="95" spans="1:22" x14ac:dyDescent="0.2">
      <c r="A95" s="1"/>
      <c r="J95" s="1"/>
      <c r="S95" s="1"/>
    </row>
    <row r="96" spans="1:22" x14ac:dyDescent="0.2">
      <c r="A96" s="1"/>
      <c r="J96" s="1"/>
      <c r="S96" s="1"/>
    </row>
    <row r="97" spans="1:19" x14ac:dyDescent="0.2">
      <c r="A97" s="1"/>
      <c r="J97" s="1"/>
      <c r="S97" s="1"/>
    </row>
    <row r="98" spans="1:19" x14ac:dyDescent="0.2">
      <c r="A98" s="1"/>
      <c r="J98" s="1"/>
      <c r="S98" s="1"/>
    </row>
    <row r="99" spans="1:19" x14ac:dyDescent="0.2">
      <c r="A99" s="1"/>
      <c r="J99" s="1"/>
      <c r="S99" s="1"/>
    </row>
    <row r="100" spans="1:19" x14ac:dyDescent="0.2">
      <c r="A100" s="1"/>
      <c r="J100" s="1"/>
      <c r="S100" s="1"/>
    </row>
    <row r="101" spans="1:19" x14ac:dyDescent="0.2">
      <c r="A101" s="1"/>
      <c r="I101" s="1"/>
      <c r="J101" s="1"/>
      <c r="S101" s="1"/>
    </row>
    <row r="102" spans="1:19" x14ac:dyDescent="0.2">
      <c r="A102" s="1"/>
      <c r="I102" s="1"/>
      <c r="J102" s="1"/>
      <c r="S102" s="1"/>
    </row>
    <row r="103" spans="1:19" x14ac:dyDescent="0.2">
      <c r="A103" s="1"/>
      <c r="I103" s="1"/>
      <c r="J103" s="1"/>
      <c r="S103" s="1"/>
    </row>
    <row r="104" spans="1:19" x14ac:dyDescent="0.2">
      <c r="A104" s="1"/>
      <c r="I104" s="1"/>
      <c r="J104" s="1"/>
      <c r="S104" s="1"/>
    </row>
    <row r="105" spans="1:19" x14ac:dyDescent="0.2">
      <c r="A105" s="1"/>
      <c r="I105" s="1"/>
      <c r="J105" s="1"/>
      <c r="S105" s="1"/>
    </row>
    <row r="106" spans="1:19" x14ac:dyDescent="0.2">
      <c r="A106" s="1"/>
      <c r="I106" s="1"/>
      <c r="J106" s="1"/>
      <c r="S106" s="1"/>
    </row>
    <row r="107" spans="1:19" x14ac:dyDescent="0.2">
      <c r="A107" s="1"/>
      <c r="I107" s="1"/>
      <c r="J107" s="1"/>
      <c r="S107" s="1"/>
    </row>
    <row r="108" spans="1:19" x14ac:dyDescent="0.2">
      <c r="A108" s="1"/>
      <c r="I108" s="1"/>
      <c r="J108" s="1"/>
      <c r="S108" s="1"/>
    </row>
    <row r="109" spans="1:19" x14ac:dyDescent="0.2">
      <c r="A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</row>
    <row r="110" spans="1:19" x14ac:dyDescent="0.2">
      <c r="A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</row>
    <row r="111" spans="1:19" x14ac:dyDescent="0.2">
      <c r="A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</row>
    <row r="112" spans="1:19" x14ac:dyDescent="0.2">
      <c r="A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</row>
    <row r="113" spans="1:19" x14ac:dyDescent="0.2">
      <c r="A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</row>
    <row r="114" spans="1:19" x14ac:dyDescent="0.2">
      <c r="A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</row>
    <row r="115" spans="1:19" x14ac:dyDescent="0.2">
      <c r="A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</row>
    <row r="116" spans="1:19" x14ac:dyDescent="0.2">
      <c r="A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</row>
    <row r="117" spans="1:19" x14ac:dyDescent="0.2">
      <c r="A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</row>
    <row r="118" spans="1:19" x14ac:dyDescent="0.2">
      <c r="A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</row>
    <row r="119" spans="1:19" x14ac:dyDescent="0.2">
      <c r="A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</row>
    <row r="120" spans="1:19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</row>
    <row r="121" spans="1:19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</row>
    <row r="122" spans="1:19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</row>
    <row r="123" spans="1:19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</row>
    <row r="124" spans="1:19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</row>
    <row r="125" spans="1:19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</row>
    <row r="126" spans="1:19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</row>
    <row r="127" spans="1:19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</row>
    <row r="128" spans="1:19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</row>
    <row r="129" spans="1:19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</row>
  </sheetData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25"/>
  <sheetViews>
    <sheetView workbookViewId="0"/>
  </sheetViews>
  <sheetFormatPr defaultColWidth="11" defaultRowHeight="14.25" x14ac:dyDescent="0.2"/>
  <cols>
    <col min="1" max="1" width="5.75" customWidth="1"/>
  </cols>
  <sheetData>
    <row r="1" spans="1:10" ht="40.700000000000003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x14ac:dyDescent="0.2">
      <c r="A2" s="1"/>
      <c r="B2" s="1"/>
      <c r="C2" s="1"/>
      <c r="D2" s="1"/>
      <c r="E2" s="1"/>
      <c r="F2" s="1"/>
      <c r="G2" s="1"/>
      <c r="H2" s="1"/>
      <c r="I2" s="1"/>
      <c r="J2" s="1"/>
    </row>
    <row r="3" spans="1:10" x14ac:dyDescent="0.2">
      <c r="A3" s="1"/>
      <c r="B3" s="1"/>
      <c r="C3" s="1"/>
      <c r="D3" s="1"/>
      <c r="E3" s="1"/>
      <c r="F3" s="1"/>
      <c r="G3" s="1"/>
      <c r="H3" s="1"/>
      <c r="I3" s="1"/>
      <c r="J3" s="1"/>
    </row>
    <row r="4" spans="1:10" x14ac:dyDescent="0.2">
      <c r="A4" s="1"/>
      <c r="B4" s="1"/>
      <c r="C4" s="1"/>
      <c r="D4" s="1"/>
      <c r="E4" s="1"/>
      <c r="F4" s="1"/>
      <c r="G4" s="1"/>
      <c r="H4" s="1"/>
      <c r="I4" s="1"/>
      <c r="J4" s="1"/>
    </row>
    <row r="5" spans="1:10" x14ac:dyDescent="0.2">
      <c r="A5" s="1"/>
      <c r="B5" s="1"/>
      <c r="C5" s="1"/>
      <c r="D5" s="1"/>
      <c r="E5" s="1"/>
      <c r="F5" s="1"/>
      <c r="G5" s="1"/>
      <c r="H5" s="1"/>
      <c r="I5" s="1"/>
      <c r="J5" s="1"/>
    </row>
    <row r="6" spans="1:10" x14ac:dyDescent="0.2">
      <c r="A6" s="1"/>
      <c r="B6" s="1"/>
      <c r="C6" s="1"/>
      <c r="D6" s="1"/>
      <c r="E6" s="1"/>
      <c r="F6" s="1"/>
      <c r="G6" s="1"/>
      <c r="H6" s="1"/>
      <c r="I6" s="1"/>
      <c r="J6" s="1"/>
    </row>
    <row r="7" spans="1:10" x14ac:dyDescent="0.2">
      <c r="A7" s="1"/>
      <c r="B7" s="1"/>
      <c r="C7" s="1"/>
      <c r="D7" s="1"/>
      <c r="E7" s="1"/>
      <c r="F7" s="1"/>
      <c r="G7" s="1"/>
      <c r="H7" s="1"/>
      <c r="I7" s="1"/>
      <c r="J7" s="1"/>
    </row>
    <row r="8" spans="1:10" x14ac:dyDescent="0.2">
      <c r="A8" s="1"/>
      <c r="B8" s="1"/>
      <c r="C8" s="1"/>
      <c r="D8" s="1"/>
      <c r="E8" s="1"/>
      <c r="F8" s="1"/>
      <c r="G8" s="1"/>
      <c r="H8" s="1"/>
      <c r="I8" s="1"/>
      <c r="J8" s="1"/>
    </row>
    <row r="9" spans="1:10" x14ac:dyDescent="0.2">
      <c r="A9" s="1"/>
      <c r="B9" s="1"/>
      <c r="C9" s="1"/>
      <c r="D9" s="1"/>
      <c r="E9" s="1"/>
      <c r="F9" s="1"/>
      <c r="G9" s="1"/>
      <c r="H9" s="1"/>
      <c r="I9" s="1"/>
      <c r="J9" s="1"/>
    </row>
    <row r="10" spans="1:1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</row>
    <row r="11" spans="1:1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</row>
    <row r="12" spans="1:1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</row>
    <row r="13" spans="1:1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</row>
    <row r="14" spans="1:1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</row>
    <row r="15" spans="1:1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</row>
    <row r="16" spans="1:1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</row>
    <row r="17" spans="1:1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</row>
    <row r="18" spans="1:1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</row>
    <row r="19" spans="1:1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</row>
    <row r="20" spans="1:1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</row>
    <row r="21" spans="1:1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</row>
    <row r="22" spans="1:1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</row>
    <row r="23" spans="1:1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</row>
    <row r="24" spans="1:1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</row>
    <row r="25" spans="1:1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</row>
  </sheetData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20"/>
  <sheetViews>
    <sheetView workbookViewId="0"/>
  </sheetViews>
  <sheetFormatPr defaultColWidth="11" defaultRowHeight="14.25" x14ac:dyDescent="0.2"/>
  <cols>
    <col min="1" max="1" width="5.375" customWidth="1"/>
    <col min="26" max="26" width="11.625" style="2"/>
  </cols>
  <sheetData>
    <row r="1" spans="1:25" ht="30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359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359"/>
      <c r="Y2" s="1"/>
    </row>
    <row r="3" spans="1:25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359"/>
      <c r="Y3" s="1"/>
    </row>
    <row r="4" spans="1:25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359"/>
      <c r="Y4" s="1"/>
    </row>
    <row r="5" spans="1:25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359"/>
      <c r="Y5" s="1"/>
    </row>
    <row r="6" spans="1:25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359"/>
      <c r="Y6" s="1"/>
    </row>
    <row r="7" spans="1:25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359"/>
      <c r="Y7" s="1"/>
    </row>
    <row r="8" spans="1:25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359"/>
      <c r="Y8" s="1"/>
    </row>
    <row r="9" spans="1:25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359"/>
      <c r="Y9" s="1"/>
    </row>
    <row r="10" spans="1:25" x14ac:dyDescent="0.2">
      <c r="A10" s="1"/>
      <c r="M10" s="1"/>
      <c r="N10" s="359"/>
      <c r="Y10" s="1"/>
    </row>
    <row r="11" spans="1:25" x14ac:dyDescent="0.2">
      <c r="A11" s="1"/>
      <c r="M11" s="1"/>
      <c r="N11" s="359"/>
      <c r="Y11" s="1"/>
    </row>
    <row r="12" spans="1:25" x14ac:dyDescent="0.2">
      <c r="A12" s="1"/>
      <c r="M12" s="1"/>
      <c r="N12" s="359"/>
      <c r="Y12" s="1"/>
    </row>
    <row r="13" spans="1:25" x14ac:dyDescent="0.2">
      <c r="A13" s="1"/>
      <c r="M13" s="1"/>
      <c r="N13" s="359"/>
      <c r="Y13" s="1"/>
    </row>
    <row r="14" spans="1:25" x14ac:dyDescent="0.2">
      <c r="A14" s="1"/>
      <c r="M14" s="1"/>
      <c r="N14" s="359"/>
      <c r="Y14" s="1"/>
    </row>
    <row r="15" spans="1:25" x14ac:dyDescent="0.2">
      <c r="A15" s="1"/>
      <c r="M15" s="1"/>
      <c r="N15" s="359"/>
      <c r="Y15" s="1"/>
    </row>
    <row r="16" spans="1:25" x14ac:dyDescent="0.2">
      <c r="A16" s="1"/>
      <c r="M16" s="1"/>
      <c r="N16" s="359"/>
      <c r="Y16" s="1"/>
    </row>
    <row r="17" spans="1:25" x14ac:dyDescent="0.2">
      <c r="A17" s="1"/>
      <c r="M17" s="1"/>
      <c r="N17" s="359"/>
      <c r="Y17" s="1"/>
    </row>
    <row r="18" spans="1:25" x14ac:dyDescent="0.2">
      <c r="A18" s="1"/>
      <c r="M18" s="1"/>
      <c r="N18" s="359"/>
      <c r="Y18" s="1"/>
    </row>
    <row r="19" spans="1:25" x14ac:dyDescent="0.2">
      <c r="A19" s="1"/>
      <c r="M19" s="1"/>
      <c r="N19" s="359"/>
      <c r="Y19" s="1"/>
    </row>
    <row r="20" spans="1:25" x14ac:dyDescent="0.2">
      <c r="A20" s="1"/>
      <c r="M20" s="1"/>
      <c r="N20" s="359"/>
      <c r="Y20" s="1"/>
    </row>
    <row r="21" spans="1:25" x14ac:dyDescent="0.2">
      <c r="A21" s="1"/>
      <c r="M21" s="1"/>
      <c r="N21" s="359"/>
      <c r="Y21" s="1"/>
    </row>
    <row r="22" spans="1:25" x14ac:dyDescent="0.2">
      <c r="A22" s="1"/>
      <c r="M22" s="1"/>
      <c r="N22" s="359"/>
      <c r="Y22" s="1"/>
    </row>
    <row r="23" spans="1:25" x14ac:dyDescent="0.2">
      <c r="A23" s="1"/>
      <c r="M23" s="1"/>
      <c r="N23" s="359"/>
      <c r="Y23" s="1"/>
    </row>
    <row r="24" spans="1:25" x14ac:dyDescent="0.2">
      <c r="A24" s="1"/>
      <c r="M24" s="1"/>
      <c r="N24" s="359"/>
      <c r="Y24" s="1"/>
    </row>
    <row r="25" spans="1:25" x14ac:dyDescent="0.2">
      <c r="A25" s="1"/>
      <c r="M25" s="1"/>
      <c r="N25" s="359"/>
      <c r="Y25" s="1"/>
    </row>
    <row r="26" spans="1:25" x14ac:dyDescent="0.2">
      <c r="A26" s="1"/>
      <c r="M26" s="1"/>
      <c r="N26" s="359"/>
      <c r="Y26" s="1"/>
    </row>
    <row r="27" spans="1:25" x14ac:dyDescent="0.2">
      <c r="A27" s="1"/>
      <c r="M27" s="1"/>
      <c r="N27" s="359"/>
      <c r="Y27" s="1"/>
    </row>
    <row r="28" spans="1:25" x14ac:dyDescent="0.2">
      <c r="A28" s="1"/>
      <c r="M28" s="1"/>
      <c r="N28" s="359"/>
      <c r="Y28" s="1"/>
    </row>
    <row r="29" spans="1:25" x14ac:dyDescent="0.2">
      <c r="A29" s="1"/>
      <c r="M29" s="1"/>
      <c r="N29" s="359"/>
      <c r="Y29" s="1"/>
    </row>
    <row r="30" spans="1:25" x14ac:dyDescent="0.2">
      <c r="A30" s="1"/>
      <c r="M30" s="1"/>
      <c r="N30" s="359"/>
      <c r="Y30" s="1"/>
    </row>
    <row r="31" spans="1:25" x14ac:dyDescent="0.2">
      <c r="A31" s="1"/>
      <c r="M31" s="1"/>
      <c r="N31" s="359"/>
      <c r="Y31" s="1"/>
    </row>
    <row r="32" spans="1:25" x14ac:dyDescent="0.2">
      <c r="A32" s="1"/>
      <c r="M32" s="1"/>
      <c r="N32" s="359"/>
      <c r="Y32" s="1"/>
    </row>
    <row r="33" spans="1:25" x14ac:dyDescent="0.2">
      <c r="A33" s="1"/>
      <c r="M33" s="1"/>
      <c r="N33" s="359"/>
      <c r="Y33" s="1"/>
    </row>
    <row r="34" spans="1:25" x14ac:dyDescent="0.2">
      <c r="A34" s="1"/>
      <c r="M34" s="1"/>
      <c r="N34" s="359"/>
      <c r="Y34" s="1"/>
    </row>
    <row r="35" spans="1:25" x14ac:dyDescent="0.2">
      <c r="A35" s="1"/>
      <c r="M35" s="1"/>
      <c r="N35" s="359"/>
      <c r="Y35" s="1"/>
    </row>
    <row r="36" spans="1:25" x14ac:dyDescent="0.2">
      <c r="A36" s="1"/>
      <c r="M36" s="1"/>
      <c r="N36" s="359"/>
      <c r="Y36" s="1"/>
    </row>
    <row r="37" spans="1:25" x14ac:dyDescent="0.2">
      <c r="A37" s="1"/>
      <c r="M37" s="1"/>
      <c r="N37" s="359"/>
      <c r="Y37" s="1"/>
    </row>
    <row r="38" spans="1:25" x14ac:dyDescent="0.2">
      <c r="A38" s="1"/>
      <c r="M38" s="1"/>
      <c r="N38" s="359"/>
      <c r="Y38" s="1"/>
    </row>
    <row r="39" spans="1:25" x14ac:dyDescent="0.2">
      <c r="A39" s="1"/>
      <c r="M39" s="1"/>
      <c r="N39" s="359"/>
      <c r="Y39" s="1"/>
    </row>
    <row r="40" spans="1:25" x14ac:dyDescent="0.2">
      <c r="A40" s="1"/>
      <c r="M40" s="1"/>
      <c r="N40" s="359"/>
      <c r="Y40" s="1"/>
    </row>
    <row r="41" spans="1:25" x14ac:dyDescent="0.2">
      <c r="A41" s="1"/>
      <c r="M41" s="1"/>
      <c r="N41" s="359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x14ac:dyDescent="0.2">
      <c r="A42" s="1"/>
      <c r="M42" s="1"/>
      <c r="N42" s="359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x14ac:dyDescent="0.2">
      <c r="A43" s="1"/>
      <c r="M43" s="1"/>
      <c r="N43" s="359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x14ac:dyDescent="0.2">
      <c r="A44" s="1"/>
      <c r="M44" s="1"/>
      <c r="N44" s="359"/>
      <c r="O44" s="1"/>
    </row>
    <row r="45" spans="1:25" x14ac:dyDescent="0.2">
      <c r="A45" s="1"/>
      <c r="M45" s="1"/>
      <c r="N45" s="359"/>
      <c r="O45" s="1"/>
    </row>
    <row r="46" spans="1:25" x14ac:dyDescent="0.2">
      <c r="A46" s="1"/>
      <c r="M46" s="1"/>
      <c r="N46" s="359"/>
      <c r="O46" s="1"/>
    </row>
    <row r="47" spans="1:25" x14ac:dyDescent="0.2">
      <c r="A47" s="1"/>
      <c r="M47" s="1"/>
      <c r="N47" s="359"/>
      <c r="O47" s="1"/>
    </row>
    <row r="48" spans="1:25" x14ac:dyDescent="0.2">
      <c r="A48" s="1"/>
      <c r="M48" s="1"/>
      <c r="N48" s="359"/>
      <c r="O48" s="1"/>
    </row>
    <row r="49" spans="1:15" x14ac:dyDescent="0.2">
      <c r="A49" s="1"/>
      <c r="M49" s="1"/>
      <c r="N49" s="359"/>
      <c r="O49" s="1"/>
    </row>
    <row r="50" spans="1:15" x14ac:dyDescent="0.2">
      <c r="A50" s="1"/>
      <c r="M50" s="1"/>
      <c r="N50" s="359"/>
      <c r="O50" s="1"/>
    </row>
    <row r="51" spans="1:15" x14ac:dyDescent="0.2">
      <c r="A51" s="1"/>
      <c r="M51" s="1"/>
      <c r="N51" s="359"/>
      <c r="O51" s="1"/>
    </row>
    <row r="52" spans="1:15" x14ac:dyDescent="0.2">
      <c r="A52" s="1"/>
      <c r="M52" s="1"/>
      <c r="N52" s="1"/>
      <c r="O52" s="1"/>
    </row>
    <row r="53" spans="1:15" x14ac:dyDescent="0.2">
      <c r="A53" s="1"/>
      <c r="M53" s="1"/>
      <c r="N53" s="1"/>
      <c r="O53" s="1"/>
    </row>
    <row r="54" spans="1:15" x14ac:dyDescent="0.2">
      <c r="A54" s="1"/>
      <c r="M54" s="1"/>
      <c r="N54" s="1"/>
      <c r="O54" s="1"/>
    </row>
    <row r="55" spans="1:15" x14ac:dyDescent="0.2">
      <c r="A55" s="1"/>
      <c r="M55" s="1"/>
      <c r="N55" s="1"/>
      <c r="O55" s="1"/>
    </row>
    <row r="56" spans="1:15" x14ac:dyDescent="0.2">
      <c r="A56" s="1"/>
      <c r="M56" s="1"/>
      <c r="N56" s="1"/>
      <c r="O56" s="1"/>
    </row>
    <row r="57" spans="1:15" x14ac:dyDescent="0.2">
      <c r="A57" s="1"/>
      <c r="M57" s="1"/>
      <c r="N57" s="1"/>
      <c r="O57" s="1"/>
    </row>
    <row r="58" spans="1:15" x14ac:dyDescent="0.2">
      <c r="A58" s="1"/>
      <c r="M58" s="1"/>
      <c r="N58" s="1"/>
      <c r="O58" s="1"/>
    </row>
    <row r="59" spans="1:15" x14ac:dyDescent="0.2">
      <c r="A59" s="1"/>
      <c r="M59" s="1"/>
      <c r="N59" s="1"/>
      <c r="O59" s="1"/>
    </row>
    <row r="60" spans="1:15" x14ac:dyDescent="0.2">
      <c r="A60" s="1"/>
      <c r="M60" s="1"/>
      <c r="N60" s="1"/>
      <c r="O60" s="1"/>
    </row>
    <row r="61" spans="1:15" x14ac:dyDescent="0.2">
      <c r="A61" s="1"/>
      <c r="M61" s="1"/>
      <c r="N61" s="1"/>
      <c r="O61" s="1"/>
    </row>
    <row r="62" spans="1:15" x14ac:dyDescent="0.2">
      <c r="A62" s="1"/>
      <c r="M62" s="1"/>
      <c r="N62" s="1"/>
      <c r="O62" s="1"/>
    </row>
    <row r="63" spans="1:15" x14ac:dyDescent="0.2">
      <c r="A63" s="1"/>
      <c r="M63" s="1"/>
      <c r="N63" s="1"/>
      <c r="O63" s="1"/>
    </row>
    <row r="64" spans="1:15" x14ac:dyDescent="0.2">
      <c r="A64" s="1"/>
      <c r="M64" s="1"/>
      <c r="N64" s="1"/>
      <c r="O64" s="1"/>
    </row>
    <row r="65" spans="1:15" x14ac:dyDescent="0.2">
      <c r="A65" s="1"/>
      <c r="M65" s="1"/>
      <c r="N65" s="1"/>
      <c r="O65" s="1"/>
    </row>
    <row r="66" spans="1:15" x14ac:dyDescent="0.2">
      <c r="A66" s="1"/>
      <c r="M66" s="1"/>
      <c r="N66" s="1"/>
      <c r="O66" s="1"/>
    </row>
    <row r="67" spans="1:15" x14ac:dyDescent="0.2">
      <c r="A67" s="1"/>
      <c r="M67" s="1"/>
      <c r="N67" s="1"/>
      <c r="O67" s="1"/>
    </row>
    <row r="68" spans="1:15" x14ac:dyDescent="0.2">
      <c r="A68" s="1"/>
      <c r="M68" s="1"/>
      <c r="N68" s="1"/>
      <c r="O68" s="1"/>
    </row>
    <row r="69" spans="1:15" x14ac:dyDescent="0.2">
      <c r="A69" s="1"/>
      <c r="M69" s="1"/>
      <c r="N69" s="1"/>
      <c r="O69" s="1"/>
    </row>
    <row r="70" spans="1:15" x14ac:dyDescent="0.2">
      <c r="A70" s="1"/>
      <c r="M70" s="1"/>
      <c r="N70" s="1"/>
      <c r="O70" s="1"/>
    </row>
    <row r="71" spans="1:15" x14ac:dyDescent="0.2">
      <c r="A71" s="1"/>
      <c r="M71" s="1"/>
      <c r="N71" s="1"/>
      <c r="O71" s="1"/>
    </row>
    <row r="72" spans="1:15" x14ac:dyDescent="0.2">
      <c r="A72" s="1"/>
      <c r="M72" s="1"/>
      <c r="N72" s="1"/>
      <c r="O72" s="1"/>
    </row>
    <row r="73" spans="1:15" x14ac:dyDescent="0.2">
      <c r="A73" s="1"/>
      <c r="M73" s="1"/>
      <c r="N73" s="1"/>
      <c r="O73" s="1"/>
    </row>
    <row r="74" spans="1:15" x14ac:dyDescent="0.2">
      <c r="A74" s="1"/>
      <c r="M74" s="1"/>
      <c r="N74" s="1"/>
      <c r="O74" s="1"/>
    </row>
    <row r="75" spans="1:15" x14ac:dyDescent="0.2">
      <c r="A75" s="1"/>
      <c r="M75" s="1"/>
      <c r="N75" s="1"/>
      <c r="O75" s="1"/>
    </row>
    <row r="76" spans="1:15" x14ac:dyDescent="0.2">
      <c r="A76" s="1"/>
      <c r="M76" s="1"/>
      <c r="N76" s="1"/>
      <c r="O76" s="1"/>
    </row>
    <row r="77" spans="1:15" x14ac:dyDescent="0.2">
      <c r="A77" s="1"/>
      <c r="M77" s="1"/>
      <c r="N77" s="1"/>
      <c r="O77" s="1"/>
    </row>
    <row r="78" spans="1:15" x14ac:dyDescent="0.2">
      <c r="A78" s="1"/>
      <c r="M78" s="1"/>
      <c r="N78" s="1"/>
      <c r="O78" s="1"/>
    </row>
    <row r="79" spans="1:15" x14ac:dyDescent="0.2">
      <c r="A79" s="1"/>
      <c r="M79" s="1"/>
      <c r="N79" s="1"/>
      <c r="O79" s="1"/>
    </row>
    <row r="80" spans="1:15" x14ac:dyDescent="0.2">
      <c r="A80" s="1"/>
      <c r="M80" s="1"/>
      <c r="N80" s="1"/>
      <c r="O80" s="1"/>
    </row>
    <row r="81" spans="1:15" x14ac:dyDescent="0.2">
      <c r="A81" s="1"/>
      <c r="M81" s="1"/>
      <c r="N81" s="1"/>
      <c r="O81" s="1"/>
    </row>
    <row r="82" spans="1:15" x14ac:dyDescent="0.2">
      <c r="A82" s="1"/>
      <c r="M82" s="1"/>
      <c r="N82" s="1"/>
      <c r="O82" s="1"/>
    </row>
    <row r="83" spans="1:15" x14ac:dyDescent="0.2">
      <c r="A83" s="1"/>
      <c r="M83" s="1"/>
      <c r="N83" s="1"/>
      <c r="O83" s="1"/>
    </row>
    <row r="84" spans="1:15" x14ac:dyDescent="0.2">
      <c r="A84" s="1"/>
      <c r="M84" s="1"/>
      <c r="N84" s="1"/>
      <c r="O84" s="1"/>
    </row>
    <row r="85" spans="1:15" x14ac:dyDescent="0.2">
      <c r="A85" s="1"/>
      <c r="M85" s="1"/>
      <c r="N85" s="1"/>
      <c r="O85" s="1"/>
    </row>
    <row r="86" spans="1:15" x14ac:dyDescent="0.2">
      <c r="A86" s="1"/>
      <c r="M86" s="1"/>
      <c r="N86" s="1"/>
      <c r="O86" s="1"/>
    </row>
    <row r="87" spans="1:15" x14ac:dyDescent="0.2">
      <c r="A87" s="1"/>
      <c r="M87" s="1"/>
      <c r="N87" s="1"/>
      <c r="O87" s="1"/>
    </row>
    <row r="88" spans="1:15" x14ac:dyDescent="0.2">
      <c r="A88" s="1"/>
      <c r="M88" s="1"/>
      <c r="N88" s="1"/>
      <c r="O88" s="1"/>
    </row>
    <row r="89" spans="1:15" x14ac:dyDescent="0.2">
      <c r="A89" s="1"/>
      <c r="M89" s="1"/>
      <c r="N89" s="1"/>
      <c r="O89" s="1"/>
    </row>
    <row r="90" spans="1:15" x14ac:dyDescent="0.2">
      <c r="A90" s="1"/>
      <c r="M90" s="1"/>
      <c r="N90" s="1"/>
      <c r="O90" s="1"/>
    </row>
    <row r="91" spans="1:1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</row>
    <row r="92" spans="1:15" x14ac:dyDescent="0.2">
      <c r="A92" s="1"/>
      <c r="N92" s="1"/>
      <c r="O92" s="1"/>
    </row>
    <row r="93" spans="1:15" x14ac:dyDescent="0.2">
      <c r="A93" s="1"/>
      <c r="N93" s="1"/>
      <c r="O93" s="1"/>
    </row>
    <row r="94" spans="1:15" x14ac:dyDescent="0.2">
      <c r="A94" s="1"/>
      <c r="N94" s="1"/>
      <c r="O94" s="1"/>
    </row>
    <row r="95" spans="1:15" x14ac:dyDescent="0.2">
      <c r="A95" s="1"/>
      <c r="N95" s="1"/>
      <c r="O95" s="1"/>
    </row>
    <row r="96" spans="1:15" x14ac:dyDescent="0.2">
      <c r="A96" s="1"/>
      <c r="N96" s="1"/>
      <c r="O96" s="1"/>
    </row>
    <row r="97" spans="1:15" x14ac:dyDescent="0.2">
      <c r="A97" s="1"/>
      <c r="N97" s="1"/>
      <c r="O97" s="1"/>
    </row>
    <row r="98" spans="1:15" x14ac:dyDescent="0.2">
      <c r="A98" s="1"/>
      <c r="N98" s="1"/>
      <c r="O98" s="1"/>
    </row>
    <row r="99" spans="1:15" x14ac:dyDescent="0.2">
      <c r="A99" s="1"/>
      <c r="N99" s="1"/>
      <c r="O99" s="1"/>
    </row>
    <row r="100" spans="1:15" x14ac:dyDescent="0.2">
      <c r="A100" s="1"/>
      <c r="N100" s="1"/>
      <c r="O100" s="1"/>
    </row>
    <row r="101" spans="1:15" x14ac:dyDescent="0.2">
      <c r="A101" s="1"/>
      <c r="N101" s="1"/>
      <c r="O101" s="1"/>
    </row>
    <row r="102" spans="1:15" x14ac:dyDescent="0.2">
      <c r="A102" s="1"/>
      <c r="N102" s="1"/>
      <c r="O102" s="1"/>
    </row>
    <row r="103" spans="1:15" x14ac:dyDescent="0.2">
      <c r="A103" s="1"/>
      <c r="N103" s="1"/>
      <c r="O103" s="1"/>
    </row>
    <row r="104" spans="1:15" x14ac:dyDescent="0.2">
      <c r="A104" s="1"/>
      <c r="N104" s="1"/>
      <c r="O104" s="1"/>
    </row>
    <row r="105" spans="1:15" x14ac:dyDescent="0.2">
      <c r="A105" s="1"/>
      <c r="N105" s="1"/>
      <c r="O105" s="1"/>
    </row>
    <row r="106" spans="1:15" x14ac:dyDescent="0.2">
      <c r="A106" s="1"/>
      <c r="N106" s="1"/>
      <c r="O106" s="1"/>
    </row>
    <row r="107" spans="1:15" x14ac:dyDescent="0.2">
      <c r="A107" s="1"/>
      <c r="N107" s="1"/>
      <c r="O107" s="1"/>
    </row>
    <row r="108" spans="1:15" x14ac:dyDescent="0.2">
      <c r="A108" s="1"/>
      <c r="N108" s="1"/>
      <c r="O108" s="1"/>
    </row>
    <row r="109" spans="1:15" x14ac:dyDescent="0.2">
      <c r="A109" s="1"/>
      <c r="N109" s="1"/>
      <c r="O109" s="1"/>
    </row>
    <row r="110" spans="1:15" x14ac:dyDescent="0.2">
      <c r="A110" s="1"/>
      <c r="N110" s="1"/>
      <c r="O110" s="1"/>
    </row>
    <row r="111" spans="1:15" x14ac:dyDescent="0.2">
      <c r="A111" s="1"/>
      <c r="N111" s="1"/>
      <c r="O111" s="1"/>
    </row>
    <row r="112" spans="1:15" x14ac:dyDescent="0.2">
      <c r="A112" s="1"/>
      <c r="N112" s="1"/>
      <c r="O112" s="1"/>
    </row>
    <row r="113" spans="1:15" x14ac:dyDescent="0.2">
      <c r="A113" s="1"/>
      <c r="N113" s="1"/>
      <c r="O113" s="1"/>
    </row>
    <row r="114" spans="1:15" x14ac:dyDescent="0.2">
      <c r="A114" s="1"/>
      <c r="N114" s="1"/>
      <c r="O114" s="1"/>
    </row>
    <row r="115" spans="1:15" x14ac:dyDescent="0.2">
      <c r="A115" s="1"/>
      <c r="N115" s="1"/>
      <c r="O115" s="1"/>
    </row>
    <row r="116" spans="1:15" x14ac:dyDescent="0.2">
      <c r="A116" s="1"/>
      <c r="N116" s="1"/>
      <c r="O116" s="1"/>
    </row>
    <row r="117" spans="1:1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N117" s="1"/>
      <c r="O117" s="1"/>
    </row>
    <row r="118" spans="1:15" s="2" customFormat="1" x14ac:dyDescent="0.2"/>
    <row r="119" spans="1:15" s="2" customFormat="1" x14ac:dyDescent="0.2"/>
    <row r="120" spans="1:15" s="2" customFormat="1" x14ac:dyDescent="0.2"/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LC_Production of main product </vt:lpstr>
      <vt:lpstr>LC_Transport data</vt:lpstr>
      <vt:lpstr>LC_Use stage (losses) data</vt:lpstr>
      <vt:lpstr>LC_EoL stage data</vt:lpstr>
      <vt:lpstr>Landuse&amp;Infrastructure</vt:lpstr>
      <vt:lpstr>Screenshot Life cycle</vt:lpstr>
      <vt:lpstr>Screenshots manufacturing</vt:lpstr>
      <vt:lpstr>Screenshots use stage</vt:lpstr>
      <vt:lpstr>Screenshot EoL stage</vt:lpstr>
      <vt:lpstr>DQR</vt:lpstr>
      <vt:lpstr>Most relevant IC</vt:lpstr>
      <vt:lpstr>Most relevant LCS</vt:lpstr>
      <vt:lpstr>Most relevant process</vt:lpstr>
      <vt:lpstr>Benchmark</vt:lpstr>
      <vt:lpstr>Ref. PEF Guideline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Marta Bonell</dc:creator>
  <cp:lastModifiedBy>Charlotte THY</cp:lastModifiedBy>
  <dcterms:created xsi:type="dcterms:W3CDTF">2017-07-21T07:28:42Z</dcterms:created>
  <dcterms:modified xsi:type="dcterms:W3CDTF">2020-12-15T10:29:40Z</dcterms:modified>
</cp:coreProperties>
</file>